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60" windowWidth="19200" windowHeight="10635" tabRatio="645" activeTab="1"/>
  </bookViews>
  <sheets>
    <sheet name="гос 2016" sheetId="3" r:id="rId1"/>
    <sheet name="мун 2016 " sheetId="5" r:id="rId2"/>
  </sheets>
  <externalReferences>
    <externalReference r:id="rId3"/>
  </externalReferences>
  <definedNames>
    <definedName name="_xlnm._FilterDatabase" localSheetId="0" hidden="1">'гос 2016'!$A$6:$M$266</definedName>
    <definedName name="_xlnm._FilterDatabase" localSheetId="1" hidden="1">'мун 2016 '!$B$6:$I$314</definedName>
    <definedName name="_xlnm.Print_Titles" localSheetId="0">'гос 2016'!$6:$7</definedName>
    <definedName name="_xlnm.Print_Titles" localSheetId="1">'мун 2016 '!$6:$7</definedName>
    <definedName name="_xlnm.Print_Area" localSheetId="0">'гос 2016'!$A$1:$P$266</definedName>
    <definedName name="_xlnm.Print_Area" localSheetId="1">'мун 2016 '!$A$1:$P$348</definedName>
  </definedNames>
  <calcPr calcId="144525"/>
</workbook>
</file>

<file path=xl/calcChain.xml><?xml version="1.0" encoding="utf-8"?>
<calcChain xmlns="http://schemas.openxmlformats.org/spreadsheetml/2006/main">
  <c r="N68" i="5" l="1"/>
  <c r="N17" i="5" l="1"/>
  <c r="N296" i="5"/>
  <c r="N294" i="5"/>
  <c r="N293" i="5" s="1"/>
  <c r="N292" i="5"/>
  <c r="N278" i="5"/>
  <c r="N275" i="5"/>
  <c r="N276" i="5"/>
  <c r="N274" i="5"/>
  <c r="N260" i="5"/>
  <c r="N258" i="5"/>
  <c r="N257" i="5" s="1"/>
  <c r="N251" i="5"/>
  <c r="N242" i="5"/>
  <c r="N241" i="5"/>
  <c r="N236" i="5"/>
  <c r="N235" i="5" s="1"/>
  <c r="N234" i="5"/>
  <c r="N233" i="5"/>
  <c r="N210" i="5"/>
  <c r="N202" i="5"/>
  <c r="N201" i="5" s="1"/>
  <c r="N200" i="5"/>
  <c r="N198" i="5"/>
  <c r="N197" i="5"/>
  <c r="N195" i="5"/>
  <c r="N194" i="5"/>
  <c r="N192" i="5"/>
  <c r="N191" i="5"/>
  <c r="N189" i="5"/>
  <c r="N188" i="5" s="1"/>
  <c r="N182" i="5"/>
  <c r="N181" i="5"/>
  <c r="N179" i="5"/>
  <c r="N177" i="5"/>
  <c r="N176" i="5" s="1"/>
  <c r="N175" i="5"/>
  <c r="N165" i="5"/>
  <c r="N163" i="5"/>
  <c r="N162" i="5"/>
  <c r="N161" i="5"/>
  <c r="N159" i="5"/>
  <c r="N158" i="5"/>
  <c r="N156" i="5"/>
  <c r="N155" i="5"/>
  <c r="N154" i="5"/>
  <c r="N152" i="5"/>
  <c r="N150" i="5"/>
  <c r="N148" i="5"/>
  <c r="N115" i="5"/>
  <c r="N98" i="5"/>
  <c r="N84" i="5"/>
  <c r="N83" i="5" s="1"/>
  <c r="O312" i="5"/>
  <c r="O310" i="5"/>
  <c r="O309" i="5"/>
  <c r="O306" i="5"/>
  <c r="O305" i="5" s="1"/>
  <c r="O290" i="5"/>
  <c r="N290" i="5" s="1"/>
  <c r="N289" i="5" s="1"/>
  <c r="O280" i="5"/>
  <c r="P313" i="5"/>
  <c r="P307" i="5"/>
  <c r="P306" i="5"/>
  <c r="P297" i="5"/>
  <c r="P294" i="5"/>
  <c r="P292" i="5"/>
  <c r="P281" i="5"/>
  <c r="P278" i="5"/>
  <c r="P275" i="5"/>
  <c r="P274" i="5"/>
  <c r="P263" i="5"/>
  <c r="P262" i="5"/>
  <c r="P255" i="5"/>
  <c r="P254" i="5"/>
  <c r="P249" i="5"/>
  <c r="P248" i="5"/>
  <c r="P246" i="5"/>
  <c r="P245" i="5"/>
  <c r="P239" i="5"/>
  <c r="P238" i="5"/>
  <c r="P234" i="5"/>
  <c r="P233" i="5"/>
  <c r="P230" i="5"/>
  <c r="P229" i="5"/>
  <c r="P220" i="5"/>
  <c r="P219" i="5"/>
  <c r="P204" i="5"/>
  <c r="P202" i="5"/>
  <c r="P197" i="5"/>
  <c r="P185" i="5"/>
  <c r="P184" i="5"/>
  <c r="P177" i="5"/>
  <c r="P175" i="5"/>
  <c r="P165" i="5"/>
  <c r="P163" i="5"/>
  <c r="P162" i="5"/>
  <c r="P161" i="5"/>
  <c r="P159" i="5"/>
  <c r="P158" i="5"/>
  <c r="P156" i="5"/>
  <c r="P155" i="5"/>
  <c r="P152" i="5"/>
  <c r="P150" i="5"/>
  <c r="P148" i="5"/>
  <c r="P141" i="5"/>
  <c r="P140" i="5"/>
  <c r="P139" i="5"/>
  <c r="P137" i="5"/>
  <c r="P136" i="5"/>
  <c r="P135" i="5"/>
  <c r="P125" i="5"/>
  <c r="P124" i="5"/>
  <c r="P119" i="5"/>
  <c r="P118" i="5"/>
  <c r="P106" i="5"/>
  <c r="P99" i="5"/>
  <c r="P89" i="5"/>
  <c r="P87" i="5"/>
  <c r="P86" i="5"/>
  <c r="P75" i="5"/>
  <c r="P74" i="5"/>
  <c r="P72" i="5"/>
  <c r="P70" i="5"/>
  <c r="P69" i="5"/>
  <c r="P68" i="5"/>
  <c r="P66" i="5"/>
  <c r="P64" i="5"/>
  <c r="P62" i="5"/>
  <c r="P60" i="5"/>
  <c r="P59" i="5"/>
  <c r="P57" i="5"/>
  <c r="P54" i="5"/>
  <c r="P52" i="5"/>
  <c r="P50" i="5"/>
  <c r="P48" i="5"/>
  <c r="P46" i="5"/>
  <c r="P44" i="5"/>
  <c r="P41" i="5"/>
  <c r="P39" i="5"/>
  <c r="P36" i="5"/>
  <c r="P33" i="5"/>
  <c r="P31" i="5"/>
  <c r="P29" i="5"/>
  <c r="P28" i="5"/>
  <c r="P18" i="5"/>
  <c r="P17" i="5"/>
  <c r="N311" i="5"/>
  <c r="O311" i="5"/>
  <c r="N308" i="5"/>
  <c r="O308" i="5"/>
  <c r="N305" i="5"/>
  <c r="N295" i="5"/>
  <c r="O295" i="5"/>
  <c r="O293" i="5"/>
  <c r="N291" i="5"/>
  <c r="O291" i="5"/>
  <c r="O287" i="5"/>
  <c r="O285" i="5" s="1"/>
  <c r="N288" i="5"/>
  <c r="N286" i="5" s="1"/>
  <c r="O288" i="5"/>
  <c r="O286" i="5" s="1"/>
  <c r="O289" i="5"/>
  <c r="N279" i="5"/>
  <c r="O279" i="5"/>
  <c r="N277" i="5"/>
  <c r="O277" i="5"/>
  <c r="N271" i="5"/>
  <c r="N269" i="5" s="1"/>
  <c r="O271" i="5"/>
  <c r="O269" i="5" s="1"/>
  <c r="O272" i="5"/>
  <c r="O270" i="5" s="1"/>
  <c r="N273" i="5"/>
  <c r="O273" i="5"/>
  <c r="M276" i="5"/>
  <c r="P276" i="5" s="1"/>
  <c r="M277" i="5"/>
  <c r="M280" i="5"/>
  <c r="P280" i="5" s="1"/>
  <c r="M287" i="5"/>
  <c r="M285" i="5" s="1"/>
  <c r="M289" i="5"/>
  <c r="M290" i="5"/>
  <c r="P290" i="5" s="1"/>
  <c r="M291" i="5"/>
  <c r="M293" i="5"/>
  <c r="M295" i="5"/>
  <c r="M296" i="5"/>
  <c r="M288" i="5" s="1"/>
  <c r="M286" i="5" s="1"/>
  <c r="M284" i="5" s="1"/>
  <c r="M306" i="5"/>
  <c r="M305" i="5" s="1"/>
  <c r="M309" i="5"/>
  <c r="M310" i="5"/>
  <c r="P310" i="5" s="1"/>
  <c r="M312" i="5"/>
  <c r="M311" i="5" s="1"/>
  <c r="N261" i="5"/>
  <c r="O261" i="5"/>
  <c r="N259" i="5"/>
  <c r="O259" i="5"/>
  <c r="O257" i="5"/>
  <c r="N253" i="5"/>
  <c r="O253" i="5"/>
  <c r="N250" i="5"/>
  <c r="O250" i="5"/>
  <c r="N247" i="5"/>
  <c r="O247" i="5"/>
  <c r="N244" i="5"/>
  <c r="O244" i="5"/>
  <c r="N240" i="5"/>
  <c r="O240" i="5"/>
  <c r="N237" i="5"/>
  <c r="O237" i="5"/>
  <c r="O235" i="5"/>
  <c r="O232" i="5"/>
  <c r="N228" i="5"/>
  <c r="N227" i="5" s="1"/>
  <c r="O228" i="5"/>
  <c r="O227" i="5" s="1"/>
  <c r="N218" i="5"/>
  <c r="N217" i="5" s="1"/>
  <c r="N216" i="5" s="1"/>
  <c r="N215" i="5" s="1"/>
  <c r="N214" i="5" s="1"/>
  <c r="O218" i="5"/>
  <c r="O217" i="5" s="1"/>
  <c r="O216" i="5" s="1"/>
  <c r="O215" i="5" s="1"/>
  <c r="O214" i="5" s="1"/>
  <c r="N208" i="5"/>
  <c r="N207" i="5" s="1"/>
  <c r="N206" i="5" s="1"/>
  <c r="N205" i="5" s="1"/>
  <c r="N209" i="5"/>
  <c r="O209" i="5"/>
  <c r="O208" i="5" s="1"/>
  <c r="O207" i="5" s="1"/>
  <c r="O206" i="5" s="1"/>
  <c r="O205" i="5" s="1"/>
  <c r="O201" i="5"/>
  <c r="N199" i="5"/>
  <c r="O199" i="5"/>
  <c r="N196" i="5"/>
  <c r="O196" i="5"/>
  <c r="O193" i="5"/>
  <c r="N190" i="5"/>
  <c r="O190" i="5"/>
  <c r="N186" i="5"/>
  <c r="O186" i="5"/>
  <c r="O188" i="5"/>
  <c r="N183" i="5"/>
  <c r="N172" i="5" s="1"/>
  <c r="O183" i="5"/>
  <c r="N180" i="5"/>
  <c r="O180" i="5"/>
  <c r="N178" i="5"/>
  <c r="O178" i="5"/>
  <c r="O176" i="5"/>
  <c r="O172" i="5"/>
  <c r="O170" i="5" s="1"/>
  <c r="O168" i="5" s="1"/>
  <c r="N174" i="5"/>
  <c r="O174" i="5"/>
  <c r="N164" i="5"/>
  <c r="O164" i="5"/>
  <c r="O160" i="5"/>
  <c r="N157" i="5"/>
  <c r="O157" i="5"/>
  <c r="O153" i="5"/>
  <c r="N151" i="5"/>
  <c r="O151" i="5"/>
  <c r="O149" i="5"/>
  <c r="O146" i="5"/>
  <c r="O145" i="5" s="1"/>
  <c r="O144" i="5" s="1"/>
  <c r="O143" i="5" s="1"/>
  <c r="N147" i="5"/>
  <c r="O147" i="5"/>
  <c r="N138" i="5"/>
  <c r="O138" i="5"/>
  <c r="N134" i="5"/>
  <c r="N133" i="5" s="1"/>
  <c r="N132" i="5" s="1"/>
  <c r="N131" i="5" s="1"/>
  <c r="N130" i="5" s="1"/>
  <c r="N129" i="5" s="1"/>
  <c r="O134" i="5"/>
  <c r="N123" i="5"/>
  <c r="N122" i="5" s="1"/>
  <c r="N121" i="5" s="1"/>
  <c r="N120" i="5" s="1"/>
  <c r="O123" i="5"/>
  <c r="O122" i="5" s="1"/>
  <c r="O121" i="5" s="1"/>
  <c r="O120" i="5" s="1"/>
  <c r="N117" i="5"/>
  <c r="O117" i="5"/>
  <c r="N114" i="5"/>
  <c r="O114" i="5"/>
  <c r="N104" i="5"/>
  <c r="N103" i="5" s="1"/>
  <c r="N102" i="5" s="1"/>
  <c r="N101" i="5" s="1"/>
  <c r="N100" i="5" s="1"/>
  <c r="O104" i="5"/>
  <c r="O103" i="5" s="1"/>
  <c r="O102" i="5" s="1"/>
  <c r="O101" i="5" s="1"/>
  <c r="O100" i="5" s="1"/>
  <c r="N105" i="5"/>
  <c r="O105" i="5"/>
  <c r="N97" i="5"/>
  <c r="N96" i="5" s="1"/>
  <c r="N95" i="5" s="1"/>
  <c r="N94" i="5" s="1"/>
  <c r="N93" i="5" s="1"/>
  <c r="N92" i="5" s="1"/>
  <c r="O97" i="5"/>
  <c r="N88" i="5"/>
  <c r="O88" i="5"/>
  <c r="N85" i="5"/>
  <c r="O85" i="5"/>
  <c r="O83" i="5"/>
  <c r="N73" i="5"/>
  <c r="O73" i="5"/>
  <c r="N71" i="5"/>
  <c r="O71" i="5"/>
  <c r="N67" i="5"/>
  <c r="O67" i="5"/>
  <c r="N65" i="5"/>
  <c r="O65" i="5"/>
  <c r="N63" i="5"/>
  <c r="O63" i="5"/>
  <c r="N61" i="5"/>
  <c r="O61" i="5"/>
  <c r="N58" i="5"/>
  <c r="O58" i="5"/>
  <c r="N55" i="5"/>
  <c r="O55" i="5"/>
  <c r="N53" i="5"/>
  <c r="O53" i="5"/>
  <c r="N51" i="5"/>
  <c r="O51" i="5"/>
  <c r="N49" i="5"/>
  <c r="O49" i="5"/>
  <c r="N47" i="5"/>
  <c r="O47" i="5"/>
  <c r="N45" i="5"/>
  <c r="O45" i="5"/>
  <c r="N42" i="5"/>
  <c r="O42" i="5"/>
  <c r="N37" i="5"/>
  <c r="O37" i="5"/>
  <c r="N34" i="5"/>
  <c r="O34" i="5"/>
  <c r="N32" i="5"/>
  <c r="O32" i="5"/>
  <c r="N30" i="5"/>
  <c r="O30" i="5"/>
  <c r="N27" i="5"/>
  <c r="O27" i="5"/>
  <c r="N16" i="5"/>
  <c r="N15" i="5" s="1"/>
  <c r="N14" i="5" s="1"/>
  <c r="O16" i="5"/>
  <c r="O15" i="5" s="1"/>
  <c r="O14" i="5" s="1"/>
  <c r="N263" i="3"/>
  <c r="N244" i="3"/>
  <c r="N241" i="3" s="1"/>
  <c r="N239" i="3" s="1"/>
  <c r="N243" i="3"/>
  <c r="N237" i="3"/>
  <c r="N236" i="3"/>
  <c r="N234" i="3"/>
  <c r="N232" i="3"/>
  <c r="N230" i="3"/>
  <c r="N220" i="3"/>
  <c r="N217" i="3"/>
  <c r="N215" i="3" s="1"/>
  <c r="N216" i="3"/>
  <c r="N213" i="3"/>
  <c r="N208" i="3"/>
  <c r="N206" i="3"/>
  <c r="N204" i="3"/>
  <c r="N202" i="3"/>
  <c r="N199" i="3"/>
  <c r="N197" i="3"/>
  <c r="N194" i="3"/>
  <c r="N193" i="3"/>
  <c r="N191" i="3"/>
  <c r="N190" i="3"/>
  <c r="N188" i="3"/>
  <c r="N186" i="3"/>
  <c r="N184" i="3"/>
  <c r="N165" i="3"/>
  <c r="N163" i="3"/>
  <c r="N162" i="3"/>
  <c r="N156" i="3"/>
  <c r="N145" i="3"/>
  <c r="N144" i="3" s="1"/>
  <c r="N143" i="3"/>
  <c r="N138" i="3"/>
  <c r="N137" i="3"/>
  <c r="N135" i="3"/>
  <c r="N133" i="3"/>
  <c r="N130" i="3"/>
  <c r="N129" i="3"/>
  <c r="N127" i="3"/>
  <c r="N126" i="3" s="1"/>
  <c r="N115" i="3"/>
  <c r="N113" i="3"/>
  <c r="N111" i="3"/>
  <c r="N109" i="3"/>
  <c r="N108" i="3"/>
  <c r="N104" i="3"/>
  <c r="N82" i="3"/>
  <c r="N56" i="3"/>
  <c r="N55" i="3" s="1"/>
  <c r="N54" i="3" s="1"/>
  <c r="N53" i="3" s="1"/>
  <c r="N52" i="3" s="1"/>
  <c r="N51" i="3" s="1"/>
  <c r="N50" i="3" s="1"/>
  <c r="N47" i="3"/>
  <c r="N46" i="3"/>
  <c r="N44" i="3"/>
  <c r="N38" i="3"/>
  <c r="N37" i="3" s="1"/>
  <c r="N36" i="3" s="1"/>
  <c r="N35" i="3" s="1"/>
  <c r="O37" i="3"/>
  <c r="P28" i="3"/>
  <c r="P31" i="3"/>
  <c r="P39" i="3"/>
  <c r="P40" i="3"/>
  <c r="P45" i="3"/>
  <c r="P47" i="3"/>
  <c r="P65" i="3"/>
  <c r="P66" i="3"/>
  <c r="P75" i="3"/>
  <c r="P77" i="3"/>
  <c r="P78" i="3"/>
  <c r="P82" i="3"/>
  <c r="P91" i="3"/>
  <c r="P104" i="3"/>
  <c r="P111" i="3"/>
  <c r="P113" i="3"/>
  <c r="P129" i="3"/>
  <c r="P131" i="3"/>
  <c r="P133" i="3"/>
  <c r="P134" i="3"/>
  <c r="P140" i="3"/>
  <c r="P141" i="3"/>
  <c r="P159" i="3"/>
  <c r="P160" i="3"/>
  <c r="P162" i="3"/>
  <c r="P164" i="3"/>
  <c r="P168" i="3"/>
  <c r="P169" i="3"/>
  <c r="P171" i="3"/>
  <c r="P172" i="3"/>
  <c r="P187" i="3"/>
  <c r="P195" i="3"/>
  <c r="P199" i="3"/>
  <c r="P200" i="3"/>
  <c r="P203" i="3"/>
  <c r="P205" i="3"/>
  <c r="P207" i="3"/>
  <c r="P208" i="3"/>
  <c r="P212" i="3"/>
  <c r="P214" i="3"/>
  <c r="P217" i="3"/>
  <c r="P218" i="3"/>
  <c r="P221" i="3"/>
  <c r="P231" i="3"/>
  <c r="P233" i="3"/>
  <c r="P234" i="3"/>
  <c r="P235" i="3"/>
  <c r="P236" i="3"/>
  <c r="P237" i="3"/>
  <c r="P244" i="3"/>
  <c r="P252" i="3"/>
  <c r="P253" i="3"/>
  <c r="N262" i="3"/>
  <c r="N261" i="3" s="1"/>
  <c r="N260" i="3" s="1"/>
  <c r="N259" i="3" s="1"/>
  <c r="N258" i="3" s="1"/>
  <c r="N257" i="3" s="1"/>
  <c r="N256" i="3" s="1"/>
  <c r="N255" i="3" s="1"/>
  <c r="N254" i="3" s="1"/>
  <c r="O262" i="3"/>
  <c r="O261" i="3" s="1"/>
  <c r="O260" i="3" s="1"/>
  <c r="O259" i="3" s="1"/>
  <c r="O258" i="3" s="1"/>
  <c r="O257" i="3" s="1"/>
  <c r="O256" i="3" s="1"/>
  <c r="O255" i="3" s="1"/>
  <c r="O254" i="3" s="1"/>
  <c r="N251" i="3"/>
  <c r="N250" i="3" s="1"/>
  <c r="N249" i="3" s="1"/>
  <c r="O251" i="3"/>
  <c r="O250" i="3" s="1"/>
  <c r="O249" i="3" s="1"/>
  <c r="O241" i="3"/>
  <c r="O239" i="3" s="1"/>
  <c r="N242" i="3"/>
  <c r="N240" i="3" s="1"/>
  <c r="O242" i="3"/>
  <c r="O240" i="3" s="1"/>
  <c r="O229" i="3"/>
  <c r="N219" i="3"/>
  <c r="O219" i="3"/>
  <c r="O215" i="3"/>
  <c r="N210" i="3"/>
  <c r="O210" i="3"/>
  <c r="O201" i="3"/>
  <c r="O196" i="3"/>
  <c r="N192" i="3"/>
  <c r="O192" i="3"/>
  <c r="O189" i="3"/>
  <c r="N185" i="3"/>
  <c r="O185" i="3"/>
  <c r="O181" i="3"/>
  <c r="O179" i="3" s="1"/>
  <c r="O182" i="3"/>
  <c r="O180" i="3" s="1"/>
  <c r="N183" i="3"/>
  <c r="O183" i="3"/>
  <c r="N170" i="3"/>
  <c r="O170" i="3"/>
  <c r="N167" i="3"/>
  <c r="O167" i="3"/>
  <c r="O161" i="3"/>
  <c r="N158" i="3"/>
  <c r="O158" i="3"/>
  <c r="N155" i="3"/>
  <c r="N154" i="3" s="1"/>
  <c r="O155" i="3"/>
  <c r="O154" i="3" s="1"/>
  <c r="O144" i="3"/>
  <c r="N142" i="3"/>
  <c r="O142" i="3"/>
  <c r="N139" i="3"/>
  <c r="O139" i="3"/>
  <c r="N136" i="3"/>
  <c r="O136" i="3"/>
  <c r="O132" i="3"/>
  <c r="N128" i="3"/>
  <c r="O128" i="3"/>
  <c r="O126" i="3"/>
  <c r="N114" i="3"/>
  <c r="O114" i="3"/>
  <c r="N112" i="3"/>
  <c r="O112" i="3"/>
  <c r="N110" i="3"/>
  <c r="O110" i="3"/>
  <c r="O105" i="3"/>
  <c r="N106" i="3"/>
  <c r="N101" i="3" s="1"/>
  <c r="N99" i="3" s="1"/>
  <c r="O106" i="3"/>
  <c r="O107" i="3"/>
  <c r="O101" i="3"/>
  <c r="O99" i="3" s="1"/>
  <c r="N103" i="3"/>
  <c r="N102" i="3" s="1"/>
  <c r="O103" i="3"/>
  <c r="O102" i="3" s="1"/>
  <c r="N90" i="3"/>
  <c r="N89" i="3" s="1"/>
  <c r="N88" i="3" s="1"/>
  <c r="N87" i="3" s="1"/>
  <c r="N86" i="3" s="1"/>
  <c r="N85" i="3" s="1"/>
  <c r="N84" i="3" s="1"/>
  <c r="O90" i="3"/>
  <c r="M90" i="3"/>
  <c r="M89" i="3" s="1"/>
  <c r="M88" i="3" s="1"/>
  <c r="M87" i="3" s="1"/>
  <c r="M86" i="3" s="1"/>
  <c r="M85" i="3" s="1"/>
  <c r="M84" i="3" s="1"/>
  <c r="N81" i="3"/>
  <c r="N80" i="3" s="1"/>
  <c r="N79" i="3" s="1"/>
  <c r="O81" i="3"/>
  <c r="O80" i="3" s="1"/>
  <c r="O79" i="3" s="1"/>
  <c r="N74" i="3"/>
  <c r="N73" i="3" s="1"/>
  <c r="N72" i="3" s="1"/>
  <c r="O74" i="3"/>
  <c r="O73" i="3" s="1"/>
  <c r="O72" i="3" s="1"/>
  <c r="N63" i="3"/>
  <c r="N61" i="3" s="1"/>
  <c r="O63" i="3"/>
  <c r="O61" i="3" s="1"/>
  <c r="N64" i="3"/>
  <c r="N62" i="3" s="1"/>
  <c r="O64" i="3"/>
  <c r="O55" i="3"/>
  <c r="O54" i="3" s="1"/>
  <c r="O53" i="3" s="1"/>
  <c r="O52" i="3" s="1"/>
  <c r="O51" i="3" s="1"/>
  <c r="O50" i="3" s="1"/>
  <c r="N43" i="3"/>
  <c r="N42" i="3" s="1"/>
  <c r="N41" i="3" s="1"/>
  <c r="O43" i="3"/>
  <c r="O42" i="3" s="1"/>
  <c r="O41" i="3" s="1"/>
  <c r="O36" i="3"/>
  <c r="O35" i="3" s="1"/>
  <c r="N30" i="3"/>
  <c r="N29" i="3" s="1"/>
  <c r="O30" i="3"/>
  <c r="O29" i="3" s="1"/>
  <c r="N26" i="3"/>
  <c r="O26" i="3"/>
  <c r="N27" i="3"/>
  <c r="O27" i="3"/>
  <c r="N17" i="3"/>
  <c r="N16" i="3" s="1"/>
  <c r="N15" i="3" s="1"/>
  <c r="N14" i="3" s="1"/>
  <c r="O17" i="3"/>
  <c r="O16" i="3" s="1"/>
  <c r="O15" i="3" s="1"/>
  <c r="O14" i="3" s="1"/>
  <c r="M26" i="3"/>
  <c r="M27" i="3"/>
  <c r="M138" i="5"/>
  <c r="M16" i="5"/>
  <c r="M15" i="5" s="1"/>
  <c r="M14" i="5" s="1"/>
  <c r="M243" i="3"/>
  <c r="P243" i="3" s="1"/>
  <c r="M244" i="3"/>
  <c r="M232" i="3"/>
  <c r="M230" i="3"/>
  <c r="P230" i="3" s="1"/>
  <c r="M251" i="5"/>
  <c r="P251" i="5" s="1"/>
  <c r="M162" i="3"/>
  <c r="M258" i="5"/>
  <c r="M260" i="5"/>
  <c r="P260" i="5" s="1"/>
  <c r="M156" i="3"/>
  <c r="P156" i="3" s="1"/>
  <c r="M241" i="5"/>
  <c r="P241" i="5" s="1"/>
  <c r="M163" i="3"/>
  <c r="P163" i="3" s="1"/>
  <c r="M145" i="3"/>
  <c r="P145" i="3" s="1"/>
  <c r="M143" i="3"/>
  <c r="M139" i="3"/>
  <c r="M137" i="3"/>
  <c r="P137" i="3" s="1"/>
  <c r="M130" i="3"/>
  <c r="P130" i="3" s="1"/>
  <c r="M135" i="3"/>
  <c r="M129" i="3"/>
  <c r="M174" i="5"/>
  <c r="M112" i="3"/>
  <c r="M210" i="5"/>
  <c r="P210" i="5" s="1"/>
  <c r="M198" i="5"/>
  <c r="P198" i="5" s="1"/>
  <c r="M110" i="3"/>
  <c r="M109" i="3"/>
  <c r="P109" i="3" s="1"/>
  <c r="M108" i="3"/>
  <c r="M200" i="5"/>
  <c r="M194" i="5"/>
  <c r="P194" i="5" s="1"/>
  <c r="M195" i="5"/>
  <c r="P195" i="5" s="1"/>
  <c r="M179" i="5"/>
  <c r="M178" i="5" s="1"/>
  <c r="M177" i="5"/>
  <c r="M176" i="5" s="1"/>
  <c r="M189" i="5"/>
  <c r="P189" i="5" s="1"/>
  <c r="M197" i="5"/>
  <c r="M196" i="5" s="1"/>
  <c r="M103" i="3"/>
  <c r="M102" i="3" s="1"/>
  <c r="M82" i="3"/>
  <c r="M115" i="5"/>
  <c r="M75" i="3"/>
  <c r="M76" i="3" s="1"/>
  <c r="P76" i="3" s="1"/>
  <c r="M98" i="5"/>
  <c r="M56" i="3"/>
  <c r="M55" i="3" s="1"/>
  <c r="M54" i="3" s="1"/>
  <c r="M53" i="3" s="1"/>
  <c r="M52" i="3" s="1"/>
  <c r="M51" i="3" s="1"/>
  <c r="M50" i="3" s="1"/>
  <c r="M44" i="3"/>
  <c r="P44" i="3" s="1"/>
  <c r="M38" i="3"/>
  <c r="P38" i="3" s="1"/>
  <c r="M84" i="5"/>
  <c r="M73" i="5"/>
  <c r="M27" i="5"/>
  <c r="M182" i="5"/>
  <c r="P182" i="5" s="1"/>
  <c r="M181" i="5"/>
  <c r="P181" i="5" s="1"/>
  <c r="M184" i="3"/>
  <c r="P184" i="3" s="1"/>
  <c r="M209" i="3"/>
  <c r="P209" i="3" s="1"/>
  <c r="M208" i="3"/>
  <c r="M202" i="3"/>
  <c r="M151" i="5"/>
  <c r="P151" i="5" s="1"/>
  <c r="M147" i="5"/>
  <c r="M154" i="5"/>
  <c r="M146" i="5" s="1"/>
  <c r="M145" i="5" s="1"/>
  <c r="M144" i="5" s="1"/>
  <c r="M143" i="5" s="1"/>
  <c r="M220" i="3"/>
  <c r="M213" i="3"/>
  <c r="P213" i="3" s="1"/>
  <c r="M206" i="3"/>
  <c r="P206" i="3" s="1"/>
  <c r="M204" i="3"/>
  <c r="P204" i="3" s="1"/>
  <c r="M194" i="3"/>
  <c r="P194" i="3" s="1"/>
  <c r="M193" i="3"/>
  <c r="P193" i="3" s="1"/>
  <c r="M191" i="3"/>
  <c r="P191" i="3" s="1"/>
  <c r="M188" i="3"/>
  <c r="P188" i="3" s="1"/>
  <c r="M216" i="3"/>
  <c r="P216" i="3" s="1"/>
  <c r="M190" i="3"/>
  <c r="M155" i="3"/>
  <c r="M154" i="3" s="1"/>
  <c r="P154" i="3" s="1"/>
  <c r="M165" i="3"/>
  <c r="P165" i="3" s="1"/>
  <c r="M259" i="5"/>
  <c r="M242" i="5"/>
  <c r="P242" i="5" s="1"/>
  <c r="M236" i="5"/>
  <c r="M138" i="3"/>
  <c r="P138" i="3" s="1"/>
  <c r="M127" i="3"/>
  <c r="P127" i="3" s="1"/>
  <c r="M115" i="3"/>
  <c r="M192" i="5"/>
  <c r="M191" i="5"/>
  <c r="P191" i="5" s="1"/>
  <c r="M40" i="3"/>
  <c r="M263" i="3"/>
  <c r="P263" i="3" s="1"/>
  <c r="M30" i="5"/>
  <c r="M61" i="5"/>
  <c r="M51" i="5"/>
  <c r="P51" i="5" s="1"/>
  <c r="M65" i="5"/>
  <c r="M58" i="5"/>
  <c r="M53" i="5"/>
  <c r="M49" i="5"/>
  <c r="M32" i="5"/>
  <c r="H262" i="3"/>
  <c r="H261" i="3" s="1"/>
  <c r="M252" i="5"/>
  <c r="P252" i="5" s="1"/>
  <c r="M250" i="5"/>
  <c r="M228" i="5"/>
  <c r="M227" i="5" s="1"/>
  <c r="M219" i="5"/>
  <c r="M218" i="5" s="1"/>
  <c r="M217" i="5" s="1"/>
  <c r="M216" i="5" s="1"/>
  <c r="M215" i="5" s="1"/>
  <c r="M214" i="5" s="1"/>
  <c r="M123" i="5"/>
  <c r="M122" i="5" s="1"/>
  <c r="M121" i="5" s="1"/>
  <c r="M120" i="5" s="1"/>
  <c r="M18" i="3"/>
  <c r="P18" i="3" s="1"/>
  <c r="M232" i="5"/>
  <c r="M88" i="5"/>
  <c r="M67" i="5"/>
  <c r="M71" i="5"/>
  <c r="P71" i="5" s="1"/>
  <c r="M63" i="5"/>
  <c r="M47" i="5"/>
  <c r="P47" i="5" s="1"/>
  <c r="M45" i="5"/>
  <c r="M241" i="3"/>
  <c r="M239" i="3" s="1"/>
  <c r="M242" i="3"/>
  <c r="M240" i="3" s="1"/>
  <c r="M261" i="5"/>
  <c r="M244" i="5"/>
  <c r="P244" i="5" s="1"/>
  <c r="M253" i="5"/>
  <c r="M247" i="5"/>
  <c r="M170" i="3"/>
  <c r="M126" i="3"/>
  <c r="M74" i="3"/>
  <c r="M73" i="3" s="1"/>
  <c r="M72" i="3" s="1"/>
  <c r="M81" i="3"/>
  <c r="M80" i="3" s="1"/>
  <c r="M79" i="3" s="1"/>
  <c r="M63" i="3"/>
  <c r="M61" i="3" s="1"/>
  <c r="M64" i="3"/>
  <c r="M62" i="3" s="1"/>
  <c r="M198" i="3"/>
  <c r="P198" i="3" s="1"/>
  <c r="M197" i="3"/>
  <c r="P197" i="3" s="1"/>
  <c r="M35" i="5"/>
  <c r="P35" i="5" s="1"/>
  <c r="M38" i="5"/>
  <c r="P38" i="5" s="1"/>
  <c r="M40" i="5"/>
  <c r="P40" i="5" s="1"/>
  <c r="M43" i="5"/>
  <c r="P43" i="5" s="1"/>
  <c r="M56" i="5"/>
  <c r="M85" i="5"/>
  <c r="M104" i="5"/>
  <c r="M103" i="5" s="1"/>
  <c r="M102" i="5" s="1"/>
  <c r="M101" i="5" s="1"/>
  <c r="M100" i="5" s="1"/>
  <c r="M105" i="5"/>
  <c r="P105" i="5" s="1"/>
  <c r="M116" i="5"/>
  <c r="P116" i="5" s="1"/>
  <c r="M117" i="5"/>
  <c r="M134" i="5"/>
  <c r="M133" i="5" s="1"/>
  <c r="M132" i="5" s="1"/>
  <c r="M131" i="5" s="1"/>
  <c r="M130" i="5" s="1"/>
  <c r="M129" i="5" s="1"/>
  <c r="M149" i="5"/>
  <c r="A152" i="5"/>
  <c r="A155" i="5"/>
  <c r="M157" i="5"/>
  <c r="M160" i="5"/>
  <c r="M164" i="5"/>
  <c r="A165" i="5"/>
  <c r="M183" i="5"/>
  <c r="M188" i="5"/>
  <c r="M203" i="5"/>
  <c r="M186" i="5" s="1"/>
  <c r="M209" i="5"/>
  <c r="M208" i="5" s="1"/>
  <c r="M207" i="5" s="1"/>
  <c r="M206" i="5" s="1"/>
  <c r="M205" i="5" s="1"/>
  <c r="M237" i="5"/>
  <c r="M19" i="3"/>
  <c r="P19" i="3" s="1"/>
  <c r="M30" i="3"/>
  <c r="M29" i="3" s="1"/>
  <c r="M46" i="3"/>
  <c r="P46" i="3" s="1"/>
  <c r="M144" i="3"/>
  <c r="M158" i="3"/>
  <c r="M167" i="3"/>
  <c r="M186" i="3"/>
  <c r="M192" i="3"/>
  <c r="M199" i="3"/>
  <c r="M211" i="3"/>
  <c r="M215" i="3"/>
  <c r="M245" i="3"/>
  <c r="P245" i="3" s="1"/>
  <c r="M251" i="3"/>
  <c r="M250" i="3" s="1"/>
  <c r="M249" i="3" s="1"/>
  <c r="M128" i="3"/>
  <c r="M183" i="3"/>
  <c r="M37" i="5"/>
  <c r="M153" i="5"/>
  <c r="M193" i="5"/>
  <c r="M181" i="3"/>
  <c r="M179" i="3" s="1"/>
  <c r="M279" i="5" l="1"/>
  <c r="N160" i="5"/>
  <c r="P27" i="5"/>
  <c r="P32" i="5"/>
  <c r="P37" i="5"/>
  <c r="P53" i="5"/>
  <c r="P58" i="5"/>
  <c r="P63" i="5"/>
  <c r="P67" i="5"/>
  <c r="P73" i="5"/>
  <c r="N113" i="5"/>
  <c r="N112" i="5" s="1"/>
  <c r="N111" i="5" s="1"/>
  <c r="P160" i="5"/>
  <c r="P196" i="5"/>
  <c r="P312" i="5"/>
  <c r="P305" i="5"/>
  <c r="N153" i="5"/>
  <c r="N193" i="5"/>
  <c r="N272" i="5"/>
  <c r="N270" i="5" s="1"/>
  <c r="P138" i="5"/>
  <c r="O268" i="5"/>
  <c r="O267" i="5" s="1"/>
  <c r="O266" i="5" s="1"/>
  <c r="N132" i="3"/>
  <c r="P26" i="3"/>
  <c r="N161" i="3"/>
  <c r="N201" i="3"/>
  <c r="N229" i="3"/>
  <c r="N228" i="3" s="1"/>
  <c r="N227" i="3" s="1"/>
  <c r="N238" i="3"/>
  <c r="P50" i="3"/>
  <c r="P112" i="3"/>
  <c r="P139" i="3"/>
  <c r="P170" i="3"/>
  <c r="P63" i="3"/>
  <c r="N25" i="3"/>
  <c r="N24" i="3" s="1"/>
  <c r="N23" i="3" s="1"/>
  <c r="N22" i="3" s="1"/>
  <c r="M114" i="3"/>
  <c r="P115" i="3"/>
  <c r="N196" i="3"/>
  <c r="N181" i="3"/>
  <c r="N179" i="3" s="1"/>
  <c r="M136" i="3"/>
  <c r="M42" i="5"/>
  <c r="M34" i="5"/>
  <c r="M71" i="3"/>
  <c r="M70" i="3" s="1"/>
  <c r="M69" i="3" s="1"/>
  <c r="M243" i="5"/>
  <c r="M17" i="3"/>
  <c r="M16" i="3" s="1"/>
  <c r="M15" i="3" s="1"/>
  <c r="M14" i="3" s="1"/>
  <c r="M262" i="3"/>
  <c r="M261" i="3" s="1"/>
  <c r="M260" i="3" s="1"/>
  <c r="M259" i="3" s="1"/>
  <c r="M258" i="3" s="1"/>
  <c r="M257" i="3" s="1"/>
  <c r="M256" i="3" s="1"/>
  <c r="M255" i="3" s="1"/>
  <c r="M254" i="3" s="1"/>
  <c r="P254" i="3" s="1"/>
  <c r="M190" i="5"/>
  <c r="P192" i="5"/>
  <c r="M235" i="5"/>
  <c r="P236" i="5"/>
  <c r="P14" i="3"/>
  <c r="O62" i="3"/>
  <c r="P62" i="3" s="1"/>
  <c r="P64" i="3"/>
  <c r="O89" i="3"/>
  <c r="P90" i="3"/>
  <c r="P128" i="3"/>
  <c r="P215" i="3"/>
  <c r="P30" i="3"/>
  <c r="P85" i="5"/>
  <c r="O96" i="5"/>
  <c r="P100" i="5"/>
  <c r="P134" i="5"/>
  <c r="P147" i="5"/>
  <c r="P174" i="5"/>
  <c r="P176" i="5"/>
  <c r="M189" i="3"/>
  <c r="P190" i="3"/>
  <c r="P114" i="3"/>
  <c r="N182" i="3"/>
  <c r="N180" i="3" s="1"/>
  <c r="N189" i="3"/>
  <c r="P49" i="5"/>
  <c r="M185" i="3"/>
  <c r="P185" i="3" s="1"/>
  <c r="P186" i="3"/>
  <c r="M60" i="3"/>
  <c r="M59" i="3" s="1"/>
  <c r="M57" i="3" s="1"/>
  <c r="M48" i="3" s="1"/>
  <c r="M219" i="3"/>
  <c r="P220" i="3"/>
  <c r="M201" i="3"/>
  <c r="P201" i="3" s="1"/>
  <c r="P202" i="3"/>
  <c r="M83" i="5"/>
  <c r="M82" i="5" s="1"/>
  <c r="M81" i="5" s="1"/>
  <c r="M80" i="5" s="1"/>
  <c r="M79" i="5" s="1"/>
  <c r="M78" i="5" s="1"/>
  <c r="P84" i="5"/>
  <c r="M173" i="5"/>
  <c r="M199" i="5"/>
  <c r="P200" i="5"/>
  <c r="P27" i="3"/>
  <c r="O25" i="3"/>
  <c r="P29" i="3"/>
  <c r="P61" i="3"/>
  <c r="P192" i="3"/>
  <c r="P120" i="5"/>
  <c r="P153" i="5"/>
  <c r="P190" i="5"/>
  <c r="P261" i="5"/>
  <c r="M308" i="5"/>
  <c r="P309" i="5"/>
  <c r="P101" i="5"/>
  <c r="M114" i="5"/>
  <c r="P114" i="5" s="1"/>
  <c r="P115" i="5"/>
  <c r="M257" i="5"/>
  <c r="M256" i="5" s="1"/>
  <c r="P258" i="5"/>
  <c r="M229" i="3"/>
  <c r="M228" i="3" s="1"/>
  <c r="M227" i="3" s="1"/>
  <c r="P232" i="3"/>
  <c r="P110" i="3"/>
  <c r="P45" i="5"/>
  <c r="M210" i="3"/>
  <c r="P210" i="3" s="1"/>
  <c r="P211" i="3"/>
  <c r="M55" i="5"/>
  <c r="P55" i="5" s="1"/>
  <c r="P56" i="5"/>
  <c r="P98" i="5"/>
  <c r="M97" i="5"/>
  <c r="M96" i="5" s="1"/>
  <c r="M95" i="5" s="1"/>
  <c r="M94" i="5" s="1"/>
  <c r="M93" i="5" s="1"/>
  <c r="M92" i="5" s="1"/>
  <c r="M106" i="3"/>
  <c r="M101" i="3" s="1"/>
  <c r="M99" i="3" s="1"/>
  <c r="P99" i="3" s="1"/>
  <c r="P108" i="3"/>
  <c r="M132" i="3"/>
  <c r="P132" i="3" s="1"/>
  <c r="P135" i="3"/>
  <c r="M142" i="3"/>
  <c r="P142" i="3" s="1"/>
  <c r="P143" i="3"/>
  <c r="P136" i="3"/>
  <c r="P249" i="3"/>
  <c r="P14" i="5"/>
  <c r="P30" i="5"/>
  <c r="P34" i="5"/>
  <c r="P42" i="5"/>
  <c r="P61" i="5"/>
  <c r="P65" i="5"/>
  <c r="P149" i="5"/>
  <c r="P188" i="5"/>
  <c r="P227" i="5"/>
  <c r="P237" i="5"/>
  <c r="P250" i="5"/>
  <c r="P15" i="5"/>
  <c r="P203" i="5"/>
  <c r="N149" i="5"/>
  <c r="N146" i="5"/>
  <c r="N145" i="5" s="1"/>
  <c r="N144" i="5" s="1"/>
  <c r="N143" i="5" s="1"/>
  <c r="P126" i="3"/>
  <c r="P144" i="3"/>
  <c r="P158" i="3"/>
  <c r="P167" i="3"/>
  <c r="P183" i="3"/>
  <c r="O178" i="3"/>
  <c r="O177" i="3" s="1"/>
  <c r="O176" i="3" s="1"/>
  <c r="O175" i="3" s="1"/>
  <c r="P189" i="3"/>
  <c r="P219" i="3"/>
  <c r="P240" i="3"/>
  <c r="P250" i="3"/>
  <c r="P83" i="5"/>
  <c r="P88" i="5"/>
  <c r="P143" i="5"/>
  <c r="P157" i="5"/>
  <c r="P164" i="5"/>
  <c r="P178" i="5"/>
  <c r="P183" i="5"/>
  <c r="P186" i="5"/>
  <c r="P193" i="5"/>
  <c r="P199" i="5"/>
  <c r="P205" i="5"/>
  <c r="P235" i="5"/>
  <c r="P247" i="5"/>
  <c r="P253" i="5"/>
  <c r="P259" i="5"/>
  <c r="N287" i="5"/>
  <c r="N285" i="5" s="1"/>
  <c r="N284" i="5" s="1"/>
  <c r="P103" i="5"/>
  <c r="P154" i="5"/>
  <c r="P208" i="5"/>
  <c r="P296" i="5"/>
  <c r="N60" i="3"/>
  <c r="N59" i="3" s="1"/>
  <c r="P79" i="3"/>
  <c r="P56" i="3"/>
  <c r="N26" i="5"/>
  <c r="N25" i="5" s="1"/>
  <c r="N24" i="5" s="1"/>
  <c r="N23" i="5" s="1"/>
  <c r="N22" i="5" s="1"/>
  <c r="N21" i="5" s="1"/>
  <c r="P117" i="5"/>
  <c r="P279" i="5"/>
  <c r="P286" i="5"/>
  <c r="P291" i="5"/>
  <c r="P295" i="5"/>
  <c r="P308" i="5"/>
  <c r="P104" i="5"/>
  <c r="N232" i="5"/>
  <c r="M180" i="5"/>
  <c r="P180" i="5" s="1"/>
  <c r="M25" i="3"/>
  <c r="M24" i="3" s="1"/>
  <c r="M23" i="3" s="1"/>
  <c r="M22" i="3" s="1"/>
  <c r="P72" i="3"/>
  <c r="P251" i="3"/>
  <c r="P214" i="5"/>
  <c r="P232" i="5"/>
  <c r="P277" i="5"/>
  <c r="P289" i="5"/>
  <c r="P285" i="5"/>
  <c r="P293" i="5"/>
  <c r="P311" i="5"/>
  <c r="P16" i="5"/>
  <c r="P102" i="5"/>
  <c r="P179" i="5"/>
  <c r="N304" i="5"/>
  <c r="N303" i="5" s="1"/>
  <c r="N302" i="5" s="1"/>
  <c r="N301" i="5" s="1"/>
  <c r="N300" i="5" s="1"/>
  <c r="N298" i="5" s="1"/>
  <c r="N268" i="5"/>
  <c r="N267" i="5" s="1"/>
  <c r="N266" i="5" s="1"/>
  <c r="N265" i="5" s="1"/>
  <c r="N256" i="5"/>
  <c r="N173" i="5"/>
  <c r="N82" i="5"/>
  <c r="N81" i="5" s="1"/>
  <c r="N80" i="5" s="1"/>
  <c r="N79" i="5" s="1"/>
  <c r="N78" i="5" s="1"/>
  <c r="N76" i="5" s="1"/>
  <c r="P287" i="5"/>
  <c r="P288" i="5"/>
  <c r="O243" i="5"/>
  <c r="P243" i="5" s="1"/>
  <c r="P228" i="5"/>
  <c r="P216" i="5"/>
  <c r="P215" i="5"/>
  <c r="P218" i="5"/>
  <c r="P217" i="5"/>
  <c r="P207" i="5"/>
  <c r="P206" i="5"/>
  <c r="P209" i="5"/>
  <c r="O187" i="5"/>
  <c r="P144" i="5"/>
  <c r="P146" i="5"/>
  <c r="P145" i="5"/>
  <c r="P123" i="5"/>
  <c r="P122" i="5"/>
  <c r="P121" i="5"/>
  <c r="O95" i="5"/>
  <c r="O304" i="5"/>
  <c r="N299" i="5"/>
  <c r="O284" i="5"/>
  <c r="P284" i="5" s="1"/>
  <c r="O265" i="5"/>
  <c r="O264" i="5"/>
  <c r="M304" i="5"/>
  <c r="M303" i="5" s="1"/>
  <c r="M302" i="5" s="1"/>
  <c r="M301" i="5" s="1"/>
  <c r="M300" i="5" s="1"/>
  <c r="M283" i="5"/>
  <c r="M282" i="5"/>
  <c r="O256" i="5"/>
  <c r="N243" i="5"/>
  <c r="O231" i="5"/>
  <c r="N231" i="5"/>
  <c r="N212" i="5"/>
  <c r="N213" i="5"/>
  <c r="O213" i="5"/>
  <c r="O212" i="5"/>
  <c r="N187" i="5"/>
  <c r="N171" i="5" s="1"/>
  <c r="N169" i="5" s="1"/>
  <c r="N170" i="5"/>
  <c r="N168" i="5" s="1"/>
  <c r="O173" i="5"/>
  <c r="O133" i="5"/>
  <c r="N110" i="5"/>
  <c r="N109" i="5" s="1"/>
  <c r="N107" i="5" s="1"/>
  <c r="O113" i="5"/>
  <c r="N91" i="5"/>
  <c r="N90" i="5"/>
  <c r="O82" i="5"/>
  <c r="O26" i="5"/>
  <c r="N20" i="5"/>
  <c r="N19" i="5" s="1"/>
  <c r="N12" i="5"/>
  <c r="N13" i="5"/>
  <c r="O12" i="5"/>
  <c r="O13" i="5"/>
  <c r="M172" i="5"/>
  <c r="P172" i="5" s="1"/>
  <c r="M240" i="5"/>
  <c r="M231" i="5" s="1"/>
  <c r="M226" i="5" s="1"/>
  <c r="M225" i="5" s="1"/>
  <c r="M224" i="5" s="1"/>
  <c r="M223" i="5" s="1"/>
  <c r="M201" i="5"/>
  <c r="P201" i="5" s="1"/>
  <c r="M187" i="5"/>
  <c r="M113" i="5"/>
  <c r="M112" i="5" s="1"/>
  <c r="M111" i="5" s="1"/>
  <c r="N178" i="3"/>
  <c r="N177" i="3" s="1"/>
  <c r="N176" i="3" s="1"/>
  <c r="N175" i="3" s="1"/>
  <c r="N174" i="3" s="1"/>
  <c r="N166" i="3"/>
  <c r="N157" i="3"/>
  <c r="N125" i="3"/>
  <c r="N124" i="3" s="1"/>
  <c r="N123" i="3" s="1"/>
  <c r="N122" i="3" s="1"/>
  <c r="N121" i="3" s="1"/>
  <c r="N120" i="3" s="1"/>
  <c r="N119" i="3" s="1"/>
  <c r="N118" i="3" s="1"/>
  <c r="N105" i="3"/>
  <c r="N100" i="3" s="1"/>
  <c r="N98" i="3" s="1"/>
  <c r="N97" i="3" s="1"/>
  <c r="N96" i="3" s="1"/>
  <c r="N95" i="3" s="1"/>
  <c r="N94" i="3" s="1"/>
  <c r="N92" i="3" s="1"/>
  <c r="N83" i="3" s="1"/>
  <c r="N107" i="3"/>
  <c r="P259" i="3"/>
  <c r="P255" i="3"/>
  <c r="P260" i="3"/>
  <c r="P256" i="3"/>
  <c r="P261" i="3"/>
  <c r="P257" i="3"/>
  <c r="P262" i="3"/>
  <c r="P258" i="3"/>
  <c r="O238" i="3"/>
  <c r="P242" i="3"/>
  <c r="P239" i="3"/>
  <c r="P241" i="3"/>
  <c r="O228" i="3"/>
  <c r="P181" i="3"/>
  <c r="P179" i="3"/>
  <c r="P155" i="3"/>
  <c r="O100" i="3"/>
  <c r="O98" i="3" s="1"/>
  <c r="O97" i="3" s="1"/>
  <c r="P101" i="3"/>
  <c r="P102" i="3"/>
  <c r="P103" i="3"/>
  <c r="P80" i="3"/>
  <c r="P81" i="3"/>
  <c r="P74" i="3"/>
  <c r="P73" i="3"/>
  <c r="P54" i="3"/>
  <c r="P55" i="3"/>
  <c r="P51" i="3"/>
  <c r="P52" i="3"/>
  <c r="P53" i="3"/>
  <c r="P15" i="3"/>
  <c r="P17" i="3"/>
  <c r="P16" i="3"/>
  <c r="N247" i="3"/>
  <c r="N246" i="3" s="1"/>
  <c r="N248" i="3"/>
  <c r="O247" i="3"/>
  <c r="O248" i="3"/>
  <c r="N225" i="3"/>
  <c r="N224" i="3" s="1"/>
  <c r="N223" i="3" s="1"/>
  <c r="N222" i="3" s="1"/>
  <c r="N226" i="3"/>
  <c r="O166" i="3"/>
  <c r="O157" i="3"/>
  <c r="O125" i="3"/>
  <c r="N71" i="3"/>
  <c r="N70" i="3" s="1"/>
  <c r="N69" i="3" s="1"/>
  <c r="N67" i="3" s="1"/>
  <c r="O71" i="3"/>
  <c r="N57" i="3"/>
  <c r="N58" i="3"/>
  <c r="N48" i="3"/>
  <c r="N34" i="3"/>
  <c r="N33" i="3" s="1"/>
  <c r="N32" i="3" s="1"/>
  <c r="N20" i="3" s="1"/>
  <c r="O34" i="3"/>
  <c r="N13" i="3"/>
  <c r="N12" i="3"/>
  <c r="N11" i="3" s="1"/>
  <c r="N10" i="3" s="1"/>
  <c r="O13" i="3"/>
  <c r="O12" i="3"/>
  <c r="M238" i="3"/>
  <c r="M226" i="3" s="1"/>
  <c r="M105" i="3"/>
  <c r="P105" i="3" s="1"/>
  <c r="M166" i="3"/>
  <c r="M43" i="3"/>
  <c r="M42" i="3" s="1"/>
  <c r="M41" i="3" s="1"/>
  <c r="P41" i="3" s="1"/>
  <c r="M161" i="3"/>
  <c r="M157" i="3" s="1"/>
  <c r="M196" i="3"/>
  <c r="P196" i="3" s="1"/>
  <c r="M37" i="3"/>
  <c r="M36" i="3" s="1"/>
  <c r="M35" i="3" s="1"/>
  <c r="M77" i="5"/>
  <c r="M76" i="5"/>
  <c r="M91" i="5"/>
  <c r="M90" i="5"/>
  <c r="M12" i="5"/>
  <c r="M13" i="5"/>
  <c r="M170" i="5"/>
  <c r="M168" i="5" s="1"/>
  <c r="P168" i="5" s="1"/>
  <c r="M110" i="5"/>
  <c r="M109" i="5" s="1"/>
  <c r="M12" i="3"/>
  <c r="M11" i="3" s="1"/>
  <c r="M10" i="3" s="1"/>
  <c r="M13" i="3"/>
  <c r="M213" i="5"/>
  <c r="M212" i="5"/>
  <c r="M171" i="5"/>
  <c r="M169" i="5" s="1"/>
  <c r="M247" i="3"/>
  <c r="M246" i="3" s="1"/>
  <c r="M248" i="3"/>
  <c r="M67" i="3"/>
  <c r="M68" i="3"/>
  <c r="M225" i="3"/>
  <c r="M224" i="3" s="1"/>
  <c r="M223" i="3" s="1"/>
  <c r="M222" i="3" s="1"/>
  <c r="M26" i="5"/>
  <c r="M25" i="5" s="1"/>
  <c r="M24" i="5" s="1"/>
  <c r="M23" i="5" s="1"/>
  <c r="M22" i="5" s="1"/>
  <c r="M182" i="3"/>
  <c r="M180" i="3" s="1"/>
  <c r="M178" i="3" s="1"/>
  <c r="M177" i="3" s="1"/>
  <c r="M176" i="3" s="1"/>
  <c r="M175" i="3" s="1"/>
  <c r="M107" i="3"/>
  <c r="P107" i="3" s="1"/>
  <c r="P229" i="3" l="1"/>
  <c r="P12" i="5"/>
  <c r="P240" i="5"/>
  <c r="P106" i="3"/>
  <c r="M34" i="3"/>
  <c r="M33" i="3" s="1"/>
  <c r="M32" i="3" s="1"/>
  <c r="M20" i="3" s="1"/>
  <c r="M100" i="3"/>
  <c r="M98" i="3" s="1"/>
  <c r="M97" i="3" s="1"/>
  <c r="M96" i="3" s="1"/>
  <c r="M95" i="3" s="1"/>
  <c r="M94" i="3" s="1"/>
  <c r="P13" i="3"/>
  <c r="P157" i="3"/>
  <c r="P176" i="3"/>
  <c r="P175" i="3"/>
  <c r="P35" i="3"/>
  <c r="P43" i="3"/>
  <c r="P161" i="3"/>
  <c r="O60" i="3"/>
  <c r="O59" i="3" s="1"/>
  <c r="O24" i="3"/>
  <c r="P25" i="3"/>
  <c r="O174" i="3"/>
  <c r="O246" i="3"/>
  <c r="P246" i="3" s="1"/>
  <c r="P247" i="3"/>
  <c r="P42" i="3"/>
  <c r="P13" i="5"/>
  <c r="N77" i="5"/>
  <c r="P187" i="5"/>
  <c r="P257" i="5"/>
  <c r="M125" i="3"/>
  <c r="M124" i="3" s="1"/>
  <c r="M123" i="3" s="1"/>
  <c r="M122" i="3" s="1"/>
  <c r="M121" i="3" s="1"/>
  <c r="M120" i="3" s="1"/>
  <c r="M119" i="3" s="1"/>
  <c r="P180" i="3"/>
  <c r="M58" i="3"/>
  <c r="P166" i="3"/>
  <c r="P37" i="3"/>
  <c r="P178" i="3"/>
  <c r="P182" i="3"/>
  <c r="O25" i="5"/>
  <c r="P26" i="5"/>
  <c r="O132" i="5"/>
  <c r="P133" i="5"/>
  <c r="P212" i="5"/>
  <c r="P170" i="5"/>
  <c r="P96" i="5"/>
  <c r="O88" i="3"/>
  <c r="P89" i="3"/>
  <c r="P256" i="5"/>
  <c r="M153" i="3"/>
  <c r="M152" i="3" s="1"/>
  <c r="M151" i="3" s="1"/>
  <c r="M150" i="3" s="1"/>
  <c r="M149" i="3" s="1"/>
  <c r="M148" i="3" s="1"/>
  <c r="M147" i="3" s="1"/>
  <c r="O173" i="3"/>
  <c r="P248" i="3"/>
  <c r="P36" i="3"/>
  <c r="P100" i="3"/>
  <c r="P98" i="3"/>
  <c r="P177" i="3"/>
  <c r="P238" i="3"/>
  <c r="P213" i="5"/>
  <c r="P231" i="5"/>
  <c r="P97" i="5"/>
  <c r="N264" i="5"/>
  <c r="O303" i="5"/>
  <c r="P304" i="5"/>
  <c r="O171" i="5"/>
  <c r="P173" i="5"/>
  <c r="O112" i="5"/>
  <c r="P113" i="5"/>
  <c r="O94" i="5"/>
  <c r="P95" i="5"/>
  <c r="O81" i="5"/>
  <c r="P82" i="5"/>
  <c r="N283" i="5"/>
  <c r="N282" i="5"/>
  <c r="O283" i="5"/>
  <c r="P283" i="5" s="1"/>
  <c r="O282" i="5"/>
  <c r="P282" i="5" s="1"/>
  <c r="M299" i="5"/>
  <c r="M298" i="5"/>
  <c r="O226" i="5"/>
  <c r="N226" i="5"/>
  <c r="N225" i="5" s="1"/>
  <c r="N224" i="5" s="1"/>
  <c r="N223" i="5" s="1"/>
  <c r="N221" i="5" s="1"/>
  <c r="N167" i="5"/>
  <c r="N166" i="5" s="1"/>
  <c r="N142" i="5" s="1"/>
  <c r="N127" i="5" s="1"/>
  <c r="N126" i="5" s="1"/>
  <c r="N108" i="5"/>
  <c r="N10" i="5"/>
  <c r="N11" i="5"/>
  <c r="O10" i="5"/>
  <c r="O11" i="5"/>
  <c r="N173" i="3"/>
  <c r="N153" i="3"/>
  <c r="N152" i="3" s="1"/>
  <c r="N151" i="3" s="1"/>
  <c r="N150" i="3" s="1"/>
  <c r="N149" i="3" s="1"/>
  <c r="N148" i="3" s="1"/>
  <c r="N146" i="3" s="1"/>
  <c r="N117" i="3"/>
  <c r="N21" i="3"/>
  <c r="O227" i="3"/>
  <c r="P228" i="3"/>
  <c r="O153" i="3"/>
  <c r="O124" i="3"/>
  <c r="O96" i="3"/>
  <c r="P97" i="3"/>
  <c r="O70" i="3"/>
  <c r="P71" i="3"/>
  <c r="O33" i="3"/>
  <c r="P34" i="3"/>
  <c r="O11" i="3"/>
  <c r="P12" i="3"/>
  <c r="N93" i="3"/>
  <c r="N68" i="3"/>
  <c r="N49" i="3"/>
  <c r="M173" i="3"/>
  <c r="M174" i="3"/>
  <c r="M167" i="5"/>
  <c r="M166" i="5" s="1"/>
  <c r="M142" i="5" s="1"/>
  <c r="M21" i="5"/>
  <c r="M20" i="5"/>
  <c r="M19" i="5" s="1"/>
  <c r="M221" i="5"/>
  <c r="M222" i="5"/>
  <c r="M107" i="5"/>
  <c r="M108" i="5"/>
  <c r="M10" i="5"/>
  <c r="M11" i="5"/>
  <c r="M49" i="3"/>
  <c r="M92" i="3"/>
  <c r="M83" i="3" s="1"/>
  <c r="M93" i="3"/>
  <c r="P125" i="3" l="1"/>
  <c r="M21" i="3"/>
  <c r="P60" i="3"/>
  <c r="P153" i="3"/>
  <c r="P10" i="5"/>
  <c r="P173" i="3"/>
  <c r="O87" i="3"/>
  <c r="P88" i="3"/>
  <c r="O24" i="5"/>
  <c r="P25" i="5"/>
  <c r="P174" i="3"/>
  <c r="M146" i="3"/>
  <c r="O131" i="5"/>
  <c r="P132" i="5"/>
  <c r="O23" i="3"/>
  <c r="P24" i="3"/>
  <c r="P11" i="5"/>
  <c r="P59" i="3"/>
  <c r="O58" i="3"/>
  <c r="P58" i="3" s="1"/>
  <c r="O57" i="3"/>
  <c r="M117" i="3"/>
  <c r="M118" i="3"/>
  <c r="N211" i="5"/>
  <c r="N8" i="5" s="1"/>
  <c r="O302" i="5"/>
  <c r="P303" i="5"/>
  <c r="O225" i="5"/>
  <c r="P226" i="5"/>
  <c r="O169" i="5"/>
  <c r="P171" i="5"/>
  <c r="O111" i="5"/>
  <c r="P112" i="5"/>
  <c r="O93" i="5"/>
  <c r="P94" i="5"/>
  <c r="O80" i="5"/>
  <c r="P81" i="5"/>
  <c r="N222" i="5"/>
  <c r="N128" i="5"/>
  <c r="N116" i="3"/>
  <c r="N8" i="3" s="1"/>
  <c r="N147" i="3"/>
  <c r="P227" i="3"/>
  <c r="O226" i="3"/>
  <c r="P226" i="3" s="1"/>
  <c r="O225" i="3"/>
  <c r="O152" i="3"/>
  <c r="P152" i="3" s="1"/>
  <c r="O123" i="3"/>
  <c r="P124" i="3"/>
  <c r="O95" i="3"/>
  <c r="P96" i="3"/>
  <c r="O69" i="3"/>
  <c r="P70" i="3"/>
  <c r="O32" i="3"/>
  <c r="P33" i="3"/>
  <c r="O10" i="3"/>
  <c r="P10" i="3" s="1"/>
  <c r="P11" i="3"/>
  <c r="M128" i="5"/>
  <c r="M127" i="5"/>
  <c r="M126" i="5" s="1"/>
  <c r="M116" i="3" l="1"/>
  <c r="M8" i="3" s="1"/>
  <c r="O86" i="3"/>
  <c r="P87" i="3"/>
  <c r="O130" i="5"/>
  <c r="P131" i="5"/>
  <c r="O23" i="5"/>
  <c r="P24" i="5"/>
  <c r="O22" i="3"/>
  <c r="P22" i="3" s="1"/>
  <c r="P23" i="3"/>
  <c r="P57" i="3"/>
  <c r="O49" i="3"/>
  <c r="P49" i="3" s="1"/>
  <c r="O48" i="3"/>
  <c r="P48" i="3" s="1"/>
  <c r="O301" i="5"/>
  <c r="P302" i="5"/>
  <c r="O224" i="5"/>
  <c r="P225" i="5"/>
  <c r="O167" i="5"/>
  <c r="P169" i="5"/>
  <c r="O110" i="5"/>
  <c r="P111" i="5"/>
  <c r="O92" i="5"/>
  <c r="P93" i="5"/>
  <c r="O79" i="5"/>
  <c r="P80" i="5"/>
  <c r="O224" i="3"/>
  <c r="P225" i="3"/>
  <c r="O151" i="3"/>
  <c r="P151" i="3" s="1"/>
  <c r="O122" i="3"/>
  <c r="P123" i="3"/>
  <c r="O94" i="3"/>
  <c r="P95" i="3"/>
  <c r="P69" i="3"/>
  <c r="O67" i="3"/>
  <c r="P67" i="3" s="1"/>
  <c r="O68" i="3"/>
  <c r="P68" i="3" s="1"/>
  <c r="P32" i="3"/>
  <c r="O21" i="3"/>
  <c r="P21" i="3" s="1"/>
  <c r="O20" i="3" l="1"/>
  <c r="O129" i="5"/>
  <c r="P129" i="5" s="1"/>
  <c r="P130" i="5"/>
  <c r="O22" i="5"/>
  <c r="P23" i="5"/>
  <c r="O85" i="3"/>
  <c r="P86" i="3"/>
  <c r="O300" i="5"/>
  <c r="P301" i="5"/>
  <c r="O223" i="5"/>
  <c r="P224" i="5"/>
  <c r="O166" i="5"/>
  <c r="P167" i="5"/>
  <c r="O109" i="5"/>
  <c r="P110" i="5"/>
  <c r="P92" i="5"/>
  <c r="O90" i="5"/>
  <c r="P90" i="5" s="1"/>
  <c r="O91" i="5"/>
  <c r="P91" i="5" s="1"/>
  <c r="O78" i="5"/>
  <c r="P79" i="5"/>
  <c r="O223" i="3"/>
  <c r="P224" i="3"/>
  <c r="O150" i="3"/>
  <c r="P150" i="3" s="1"/>
  <c r="O121" i="3"/>
  <c r="P122" i="3"/>
  <c r="P94" i="3"/>
  <c r="O93" i="3"/>
  <c r="P93" i="3" s="1"/>
  <c r="O92" i="3"/>
  <c r="P20" i="3"/>
  <c r="O20" i="5" l="1"/>
  <c r="P22" i="5"/>
  <c r="O21" i="5"/>
  <c r="P21" i="5" s="1"/>
  <c r="O84" i="3"/>
  <c r="P84" i="3" s="1"/>
  <c r="P85" i="3"/>
  <c r="O299" i="5"/>
  <c r="P299" i="5" s="1"/>
  <c r="P300" i="5"/>
  <c r="O298" i="5"/>
  <c r="P298" i="5" s="1"/>
  <c r="O221" i="5"/>
  <c r="P223" i="5"/>
  <c r="O222" i="5"/>
  <c r="P222" i="5" s="1"/>
  <c r="O142" i="5"/>
  <c r="P166" i="5"/>
  <c r="O108" i="5"/>
  <c r="P108" i="5" s="1"/>
  <c r="P109" i="5"/>
  <c r="O107" i="5"/>
  <c r="P107" i="5" s="1"/>
  <c r="O77" i="5"/>
  <c r="P77" i="5" s="1"/>
  <c r="P78" i="5"/>
  <c r="O76" i="5"/>
  <c r="O222" i="3"/>
  <c r="P222" i="3" s="1"/>
  <c r="P223" i="3"/>
  <c r="O149" i="3"/>
  <c r="P149" i="3" s="1"/>
  <c r="O120" i="3"/>
  <c r="P121" i="3"/>
  <c r="P92" i="3"/>
  <c r="O83" i="3" l="1"/>
  <c r="P83" i="3" s="1"/>
  <c r="O19" i="5"/>
  <c r="P19" i="5" s="1"/>
  <c r="P20" i="5"/>
  <c r="O211" i="5"/>
  <c r="P221" i="5"/>
  <c r="P142" i="5"/>
  <c r="O128" i="5"/>
  <c r="P128" i="5" s="1"/>
  <c r="O127" i="5"/>
  <c r="P76" i="5"/>
  <c r="M271" i="5"/>
  <c r="O148" i="3"/>
  <c r="O146" i="3" s="1"/>
  <c r="P146" i="3" s="1"/>
  <c r="O119" i="3"/>
  <c r="P120" i="3"/>
  <c r="M269" i="5" l="1"/>
  <c r="P269" i="5" s="1"/>
  <c r="P271" i="5"/>
  <c r="P127" i="5"/>
  <c r="O126" i="5"/>
  <c r="M272" i="5"/>
  <c r="M273" i="5"/>
  <c r="P273" i="5" s="1"/>
  <c r="O147" i="3"/>
  <c r="P147" i="3" s="1"/>
  <c r="P148" i="3"/>
  <c r="O117" i="3"/>
  <c r="P119" i="3"/>
  <c r="O118" i="3"/>
  <c r="P118" i="3" s="1"/>
  <c r="M270" i="5" l="1"/>
  <c r="P272" i="5"/>
  <c r="P126" i="5"/>
  <c r="O8" i="5"/>
  <c r="P117" i="3"/>
  <c r="O116" i="3"/>
  <c r="M268" i="5" l="1"/>
  <c r="P270" i="5"/>
  <c r="P116" i="3"/>
  <c r="O8" i="3"/>
  <c r="P8" i="3" l="1"/>
  <c r="M267" i="5"/>
  <c r="P268" i="5"/>
  <c r="M266" i="5" l="1"/>
  <c r="P267" i="5"/>
  <c r="P266" i="5" l="1"/>
  <c r="M265" i="5"/>
  <c r="P265" i="5" s="1"/>
  <c r="M264" i="5"/>
  <c r="M211" i="5" l="1"/>
  <c r="P264" i="5"/>
  <c r="M8" i="5" l="1"/>
  <c r="P8" i="5" s="1"/>
  <c r="P211" i="5"/>
</calcChain>
</file>

<file path=xl/sharedStrings.xml><?xml version="1.0" encoding="utf-8"?>
<sst xmlns="http://schemas.openxmlformats.org/spreadsheetml/2006/main" count="2452" uniqueCount="427">
  <si>
    <t/>
  </si>
  <si>
    <t>рублей</t>
  </si>
  <si>
    <t>Наименование</t>
  </si>
  <si>
    <t>ГП</t>
  </si>
  <si>
    <t>ППГП</t>
  </si>
  <si>
    <t>ГРБС</t>
  </si>
  <si>
    <t>Рз</t>
  </si>
  <si>
    <t>Пр</t>
  </si>
  <si>
    <t>НР</t>
  </si>
  <si>
    <t>ВР</t>
  </si>
  <si>
    <t>1</t>
  </si>
  <si>
    <t>2</t>
  </si>
  <si>
    <t>3</t>
  </si>
  <si>
    <t>7</t>
  </si>
  <si>
    <t>11</t>
  </si>
  <si>
    <t>01</t>
  </si>
  <si>
    <t>02</t>
  </si>
  <si>
    <t>04</t>
  </si>
  <si>
    <t>05</t>
  </si>
  <si>
    <t>Национальная экономика</t>
  </si>
  <si>
    <t>08</t>
  </si>
  <si>
    <t>Образование</t>
  </si>
  <si>
    <t>07</t>
  </si>
  <si>
    <t>09</t>
  </si>
  <si>
    <t>Жилищно-коммунальное хозяйство</t>
  </si>
  <si>
    <t>14</t>
  </si>
  <si>
    <t>Коммунальное хозяйство</t>
  </si>
  <si>
    <t>Здравоохранение</t>
  </si>
  <si>
    <t>Развитие здравоохранения Брянской области (2014 - 2020 годы)</t>
  </si>
  <si>
    <t>Стационарная медицинская помощь</t>
  </si>
  <si>
    <t>Амбулаторная помощь</t>
  </si>
  <si>
    <t>Департамент строительства и архитектуры Брянской области</t>
  </si>
  <si>
    <t>819</t>
  </si>
  <si>
    <t>Бюджетные инвестиции в объекты капитальных вложений государственной собственности</t>
  </si>
  <si>
    <t>Бюджетные инвестиции в объекты капитального строительства государственной (муниципальной) cобственности</t>
  </si>
  <si>
    <t>414</t>
  </si>
  <si>
    <t>Развитие культуры и туризма в Брянской области (2014 - 2020 годы)</t>
  </si>
  <si>
    <t>15</t>
  </si>
  <si>
    <t>Культура, кинематография</t>
  </si>
  <si>
    <t>Культура</t>
  </si>
  <si>
    <t>Развитие образования и науки Брянской области (2014 - 2020 годы)</t>
  </si>
  <si>
    <t>16</t>
  </si>
  <si>
    <t>Дошкольное образование</t>
  </si>
  <si>
    <t>Общее образование</t>
  </si>
  <si>
    <t>Развитие сельского хозяйства и регулирование рынков сельскохозяйственной продукции, сырья и продовольствия Брянской области (2014 - 2020 годы)</t>
  </si>
  <si>
    <t>17</t>
  </si>
  <si>
    <t>Подпрограмма "Устойчивое развитие сельских территорий" (2014 - 2020 годы)</t>
  </si>
  <si>
    <t>19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</si>
  <si>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</si>
  <si>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Подпрограмма "Развитие социальной и инженерной инфраструктуры Брянской области" (2014 - 2020 годы)</t>
  </si>
  <si>
    <t>Подпрограмма "Автомобильные дороги" (2014 - 2020 годы)</t>
  </si>
  <si>
    <t>Дорожное хозяйство (дорожные фонды)</t>
  </si>
  <si>
    <t>Развитие и совершенствование сети автомобильных дорог регионального значения общего пользования</t>
  </si>
  <si>
    <t>Развитие физической культуры и спорта Брянской области (2014 - 2020 годы)</t>
  </si>
  <si>
    <t>25</t>
  </si>
  <si>
    <t>Физическая культура и спорт</t>
  </si>
  <si>
    <t>Физическая культура</t>
  </si>
  <si>
    <t>Массовый спорт</t>
  </si>
  <si>
    <t>в том числе:</t>
  </si>
  <si>
    <t>Еди-  ница изме-  рения</t>
  </si>
  <si>
    <t>Мощ- ность</t>
  </si>
  <si>
    <t>Срок ввода в действие</t>
  </si>
  <si>
    <t>кв.м</t>
  </si>
  <si>
    <t>мест</t>
  </si>
  <si>
    <t>Заказчик: ГКУ "Управление капитального строительства Брянской области"</t>
  </si>
  <si>
    <t>Карачевский район</t>
  </si>
  <si>
    <t>Брянский район</t>
  </si>
  <si>
    <t>Суражский район</t>
  </si>
  <si>
    <t>км</t>
  </si>
  <si>
    <t>Злынковский район</t>
  </si>
  <si>
    <t>Комаричский район</t>
  </si>
  <si>
    <t>Навлинский район</t>
  </si>
  <si>
    <t>г. Клинцы</t>
  </si>
  <si>
    <t>г.Стародуб</t>
  </si>
  <si>
    <t>Климовский район</t>
  </si>
  <si>
    <t>Клетнянский район</t>
  </si>
  <si>
    <t>Трубчевский район</t>
  </si>
  <si>
    <t>Заказчик: КУ "Управление автомобильных дорог Брянской области"</t>
  </si>
  <si>
    <t>чел.в смену</t>
  </si>
  <si>
    <t>ОБЪЕКТЫ МУНИЦИПАЛЬНОЙ СОБСТВЕННОСТИ, ВСЕГО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</si>
  <si>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</si>
  <si>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</si>
  <si>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Жуковский район</t>
  </si>
  <si>
    <t>Развитие и совершенствование сети автомобильных дорог местного значения общего пользования</t>
  </si>
  <si>
    <t>Софинансирование объектов капитальных вложений муниципальной собственности</t>
  </si>
  <si>
    <t>Севский район</t>
  </si>
  <si>
    <t>г.Брянск</t>
  </si>
  <si>
    <t xml:space="preserve">Субсидии на софинансирование объектов капитального строительства муниципальной собственности </t>
  </si>
  <si>
    <t>коек</t>
  </si>
  <si>
    <t>Строительство систем газоснабжения для населенных пунктов Брянской области</t>
  </si>
  <si>
    <t>Строительство систем водоснабжения для населенных пунктов Брянской области</t>
  </si>
  <si>
    <t xml:space="preserve">Суражский район </t>
  </si>
  <si>
    <t>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(2011-2016 годы)</t>
  </si>
  <si>
    <t>Департамент здравоохранения Брянской области</t>
  </si>
  <si>
    <t>Другие вопросы в области национальной экономики</t>
  </si>
  <si>
    <t>Брасовский район</t>
  </si>
  <si>
    <t>Клинцовский район</t>
  </si>
  <si>
    <t>Стародубский район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</si>
  <si>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</si>
  <si>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</si>
  <si>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</si>
  <si>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Бюджетные инвестиции в объекты капитального строительства государственной (муниципальной) собственности</t>
  </si>
  <si>
    <t>Реконструкция и техническое перевооружение Центра обработки вызовов Системы - 112 Брянской области по адресу: г.Брянск,ул.Бондаренко,8</t>
  </si>
  <si>
    <t>Развитие топливно-энергетического комплекса и жилищно-коммунального хозяйства Брянской области (2014 - 2020 годы)</t>
  </si>
  <si>
    <t>Департамент топливно-энергетического комплекса и жилищно-коммунального хозяйства Брянской области</t>
  </si>
  <si>
    <t>Заказчик: Государственная корпорация по содействию разработке, производству и экспорту высокотехнологичной промышленной продукции "Ростех"</t>
  </si>
  <si>
    <t>Почепский район</t>
  </si>
  <si>
    <t>Подпрограмма "Чистая вода" (2015 - 2020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</si>
  <si>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</si>
  <si>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Климовская специальная (коррекционная) школа-интернат для детей-сирот и детей, оставшихся без попечения родителей (реконструкция)</t>
  </si>
  <si>
    <t>Обеспечение реализации полномочий высшего исполнительного органа государственной власти Брянской области (2014 - 2020 годы)</t>
  </si>
  <si>
    <t>Заказчик: ГАУЗ "Брянская городская больница №1"</t>
  </si>
  <si>
    <t>Строительство и реконструкция систем водоснабжения для населенных пунктов Брянской области</t>
  </si>
  <si>
    <t>км                       скваж.</t>
  </si>
  <si>
    <t>11                             2</t>
  </si>
  <si>
    <t xml:space="preserve">км                   скваж.                   </t>
  </si>
  <si>
    <t>5,26                                 2</t>
  </si>
  <si>
    <t>5,19                           2</t>
  </si>
  <si>
    <t>м2</t>
  </si>
  <si>
    <t>914,25</t>
  </si>
  <si>
    <t>пос/см.кв.м</t>
  </si>
  <si>
    <t>150   925,49</t>
  </si>
  <si>
    <t>Реконструкция Первомайского моста через р. Десна в Бежицком районе г. Брянска (1 пусковой комплекс)</t>
  </si>
  <si>
    <t xml:space="preserve">Комаричский район </t>
  </si>
  <si>
    <t>Красногорский район</t>
  </si>
  <si>
    <t>Погарский район</t>
  </si>
  <si>
    <t>Департамент сельского хозяйства Брянской области</t>
  </si>
  <si>
    <t>817</t>
  </si>
  <si>
    <t>Сельское хозяйство и рыболовство</t>
  </si>
  <si>
    <t>Устойчивое развитие сельских территорий</t>
  </si>
  <si>
    <t xml:space="preserve">Строительство автомобильной дороги Подъезд к зерноскладу ООО "Сельхозник" в н.п.Чаянка от автомобильной дороги "Локоть - Кретово" - Турищево на км 35+800  в Брасовском районе Брянской области </t>
  </si>
  <si>
    <t>Дубровский район</t>
  </si>
  <si>
    <t>Унечский район</t>
  </si>
  <si>
    <t>Охрана окружающей среды, воспроизводство и использование природных ресурсов Брянской области (2014 - 2020 годы)</t>
  </si>
  <si>
    <t>Департамент природных ресурсов и экологии Брянской области</t>
  </si>
  <si>
    <t>Другие вопросы в области охраны окружающей среды</t>
  </si>
  <si>
    <t>808</t>
  </si>
  <si>
    <t>06</t>
  </si>
  <si>
    <t>Охрана окружающей среды</t>
  </si>
  <si>
    <t>куб.м/сут.</t>
  </si>
  <si>
    <t>0</t>
  </si>
  <si>
    <t>Бошинское сельское поселение Карачевского района</t>
  </si>
  <si>
    <t>Департамент культуры Брянской области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</si>
  <si>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</si>
  <si>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уч. мест</t>
  </si>
  <si>
    <t>Перинатальный центр по адресу: Брянская область, г. Брянск, ул.Камозина, 11 мощностью 130 коек</t>
  </si>
  <si>
    <t>Реконструкция здания бывшего детского сада под поликлиническое отделение Белоберезковской участковой больницы ГБУЗ "Трубчевская ЦРБ"</t>
  </si>
  <si>
    <t>Лечебный корпус городской больницы №4 по ул. Бежицкой в Советском районе г. Брянска</t>
  </si>
  <si>
    <t>Врачебная амбулатория с офисом врача общей (семейной) практики в пгт Кокоревка Суземского района</t>
  </si>
  <si>
    <t>Детский сад-ясли в микрорайоне по ул.Флотской в Бежицком районе г.Брянска</t>
  </si>
  <si>
    <t>Реконструкция водопроводных сетей н.п. Вышков (2 очередь строительства)</t>
  </si>
  <si>
    <t>Реконструкция водоснабжения н.п. Косичи (1 очередь строительства)</t>
  </si>
  <si>
    <t>Газификация н.п. Клетня</t>
  </si>
  <si>
    <t>Обустройство горнолыжной трассы в Советском районе г. Брянска</t>
  </si>
  <si>
    <t>Бассейн по ул. 2-я Мичурина в Володарском районе в г.Брянске</t>
  </si>
  <si>
    <t xml:space="preserve">Строительство теннисного центра, г.Брянск </t>
  </si>
  <si>
    <t>Очистные сооружения н.п. Навля</t>
  </si>
  <si>
    <t>Реконструкция очистных сооружений в г. Стародуб</t>
  </si>
  <si>
    <t>Сельский Дом культуры на 200 мест в п.Погребы Брасовского района</t>
  </si>
  <si>
    <t>Реконструкция муниципального стадиона "Снежеть" в г.Карачеве</t>
  </si>
  <si>
    <t xml:space="preserve">Роддом (2 пусковой комплекс) г.Клинцы </t>
  </si>
  <si>
    <t>Мглинский район</t>
  </si>
  <si>
    <t xml:space="preserve">Газификация н.п. Католино </t>
  </si>
  <si>
    <t>Газификация н.п. Николаевка</t>
  </si>
  <si>
    <t>Дятьковский район</t>
  </si>
  <si>
    <t>Газификация н.п. Ольшаница</t>
  </si>
  <si>
    <t xml:space="preserve">Строительство автомобильной дороги Брянск - Урицкий в Брянском районе Брянской области (1 этап) </t>
  </si>
  <si>
    <t xml:space="preserve">Субсидии государственным корпорациям (компаниям) на выполнение возложенных на них государственных полномочий </t>
  </si>
  <si>
    <t>Суражское городское поселение Суражского района</t>
  </si>
  <si>
    <t>Управление физической культуры и спорта Брянской области</t>
  </si>
  <si>
    <t>Заказчик: ГАУ "Спортивный клуб "Брянск"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</si>
  <si>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</si>
  <si>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ОМ</t>
  </si>
  <si>
    <t>Снижение рисков чрезвычайных ситуаций, повышение защиты населения и территорий области от угроз природного и техногенного характера</t>
  </si>
  <si>
    <t>33</t>
  </si>
  <si>
    <t>11260</t>
  </si>
  <si>
    <t>Обеспечение сельского населения, в том числе молодых семей и молодых специалистов, благоустроенным жильем, 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вблизи которых осуществляются инвестиционные проекты в сфере агропромышленного комплекса, автомобильными дорогами общего пользования с твердым покрытием</t>
  </si>
  <si>
    <t>Развитие инфраструктуры сферы образования</t>
  </si>
  <si>
    <t>Развитие инфраструктуры сферы культуры</t>
  </si>
  <si>
    <t>Развитие инфраструктуры сферы здравоохранения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</si>
  <si>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</si>
  <si>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Газификация населенных пунктов и объектов социальной инфраструктуры, модернизация объектов коммунальной инфраструктуры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</si>
  <si>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</si>
  <si>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Развитие инфраструктуры сферы физической культуры и спорта</t>
  </si>
  <si>
    <t>Реализация мероприятий по государственной поддержке субъектов малого и среднего предпринимательства 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</si>
  <si>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</si>
  <si>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</si>
  <si>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Осуществление строительства систем водоснабжения для населенных пунктов Брянской области, увеличение энергоэффективности технологических процессов в сфере водопроводного хозяйства</t>
  </si>
  <si>
    <t>11270</t>
  </si>
  <si>
    <t>R0180</t>
  </si>
  <si>
    <t>Субсидии на осуществление  капитальных вложений в объекты капитального строительства государственной (муниципальной) собственности автономным учреждениям</t>
  </si>
  <si>
    <t>в том числе кредиторская задолженность за работы, выполненные в 2015 году</t>
  </si>
  <si>
    <t>Реконструкция водопроводных сетей н.п. Злынка (1 очередь строительства)</t>
  </si>
  <si>
    <t>Строительство канализационных сетей н.п. Комаричи (1 очередь строительства)</t>
  </si>
  <si>
    <t>Строительство автомобильной дороги Небольсинский - Станция Эдазия в Жуковском районе Брянской области</t>
  </si>
  <si>
    <t>Строительство автомобильной дороги "Почеп-Жирятино"-Кувшиново в Почепском районе Брянской области</t>
  </si>
  <si>
    <t>Реконструкция автомобильной дороги "Брянск-Новозыбков"-Стародуб на участке км 8+200-км 20+550,  в Стародубском районе Брянской области</t>
  </si>
  <si>
    <t>Реконструкция автомобильной дороги Трубчевск-Погар на участке км 1+300-км 30+760,  в Трубчевском и Погарском районах Брянской области</t>
  </si>
  <si>
    <t>г. Сельцо</t>
  </si>
  <si>
    <t>Трубчевский  район</t>
  </si>
  <si>
    <t>Городской округ "город Брянск"</t>
  </si>
  <si>
    <t>Муниципальное образование "город Дятьково"</t>
  </si>
  <si>
    <t>Гордеевский район</t>
  </si>
  <si>
    <t>Реконструкция водопроводной сети в с. Гордеевка ул 15 лет Октября</t>
  </si>
  <si>
    <t>Выгоничский район</t>
  </si>
  <si>
    <t>Реконструкция водозаборного узла  в н. п. Выгоничи, ул.Свердлова,20, Выгоничского района</t>
  </si>
  <si>
    <t xml:space="preserve">Реконструкция водозаборного узла в н.п.  Лопушь, ул. Молодежная, 2 «А», Выгоничского района </t>
  </si>
  <si>
    <t>Строительство ВЗУ в н.п. Пушкарная Слобода с прокладкой водопроводной сети до ул. С-Щедрина в г. Севске Брянской области (2-я очередь)</t>
  </si>
  <si>
    <t>Заказчик: ГБУК "Брянский государственный краеведческий музей"</t>
  </si>
  <si>
    <t>Перевод отопления учреждений и организаций социально-культурной сферы на природный газ</t>
  </si>
  <si>
    <t>Реконструкция  автомобильной дороги "Брянск-Новозыбков"-Мглин на участке  км  30+450 -  км 46+040  в Мглинском  районе Брянской области</t>
  </si>
  <si>
    <t>Реконструкция путепровода через железнодорожные пути станции Брянск I в Володарском районе г.Брянска</t>
  </si>
  <si>
    <t>пос.    смену</t>
  </si>
  <si>
    <t>3,337                              2</t>
  </si>
  <si>
    <t>0,076                              2</t>
  </si>
  <si>
    <t>1,358                              2</t>
  </si>
  <si>
    <t>5,78                             1</t>
  </si>
  <si>
    <t>км                            скваж.</t>
  </si>
  <si>
    <t>3,72                                   2</t>
  </si>
  <si>
    <t>посещ.</t>
  </si>
  <si>
    <t>м3/сут</t>
  </si>
  <si>
    <t>чел/см</t>
  </si>
  <si>
    <t>2016</t>
  </si>
  <si>
    <t>2018г.                 (1 этап)</t>
  </si>
  <si>
    <t>в том числе кредиторская задолженность за работы, выполненные в 2014 году</t>
  </si>
  <si>
    <t>в том числе кредиторская задолженность за работы, выполненные в 2014-2015 годах</t>
  </si>
  <si>
    <t>в том числе кредиторская задолженность за работы, выполненные в 2013-2015 годах</t>
  </si>
  <si>
    <t>Реконструкция автомобильной дороги Мглин-Сураж на участке км 2+000-км 30+200  в Мглинском и Суражском районах Брянской области</t>
  </si>
  <si>
    <t xml:space="preserve">Реконструкция мостового перехода через р.Десна на км 6+681 автомобильной дороги "Брянск-Смоленск"-Жуковка в Жуковском районе Брянской области </t>
  </si>
  <si>
    <t xml:space="preserve">Реконструкция автомобильной дороги Стародуб-Климово   в Стародубском и Климовском районах Брянской области </t>
  </si>
  <si>
    <t>Рогнединский район</t>
  </si>
  <si>
    <t>Водоснабжение н.п. Писаревка</t>
  </si>
  <si>
    <t>Газификация ул. Мельникова</t>
  </si>
  <si>
    <t>г. Сураж</t>
  </si>
  <si>
    <t>ОБЪЕКТЫ ГОСУДАРСТВЕННОЙ СОБСТВЕННОСТИ, ВСЕГО</t>
  </si>
  <si>
    <t>Физкультурно-оздоровительный комплекс, г.Сураж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</si>
  <si>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</si>
  <si>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</si>
  <si>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Подпрограмма "Создание общих условий функционирования агропромышленного комплекса" (2014 - 2020 годы)</t>
  </si>
  <si>
    <t>Повышение эффективности и конкурентоспособности продукции сельскохозяйственных товаропроизводителей за счет технической и технологической модернизации производства</t>
  </si>
  <si>
    <t>Взносы Брянской области в уставные капиталы хозяйственных обществ</t>
  </si>
  <si>
    <t>Субсидии на осуществление капитальных вложений
в объекты капитального строительства государственной
(муниципальной) собственности государственным
(муниципальным) унитарным предприятиям</t>
  </si>
  <si>
    <t>м3</t>
  </si>
  <si>
    <t>Реализация мероприятий федеральной целевой программы "Культура России (2012 - 2018 годы)" за счет средств бюджета субъекта Российской Федерации</t>
  </si>
  <si>
    <t>R0140</t>
  </si>
  <si>
    <t>объект</t>
  </si>
  <si>
    <t>Дворец единоборств в Советском районе г. Брянска</t>
  </si>
  <si>
    <t>г. Стародуб</t>
  </si>
  <si>
    <t>Насосная станция II подъёма и резервуар воды по ул.Чехова для водоснабжения г.Стародуба (1 очередь строительства. Водозаборные сооружения)</t>
  </si>
  <si>
    <t>65м3/ч</t>
  </si>
  <si>
    <t>Строительство водоснабжения в н.п.Стеклянная Радица</t>
  </si>
  <si>
    <t>Реконструкция водоснабжения н.п.Красная Слобода (1 очередь строительства)</t>
  </si>
  <si>
    <t>Водоснабжение ул.Мельникова в г. Сураже</t>
  </si>
  <si>
    <t>Водоснабжение н.п. Занковка</t>
  </si>
  <si>
    <t>Суземский район</t>
  </si>
  <si>
    <t>Газификация библиотеки н.п.Новенькое</t>
  </si>
  <si>
    <t>Реконструкция автомобильной дороги Унеча-Сураж на участке км 17+970-км 25+060, в Суражском районе Брянской области</t>
  </si>
  <si>
    <t>R4200</t>
  </si>
  <si>
    <t>Реконструкция  закрытого ледового стадиона "Десна", г.Брянск, ул.Кромская д.48а</t>
  </si>
  <si>
    <t>Развитие физической культуры и спорта Брянской области                  (2014 - 2020 годы)</t>
  </si>
  <si>
    <t>R4950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</si>
  <si>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 за счет средств бюджета субъекта Российской Федерации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</si>
  <si>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строительства, реконструкцию и ремонт уникальных искусственных дорожных сооружений по решениям Правительства Российской Федерации за счет средств бюджета субъекта Российской Федерации</t>
  </si>
  <si>
    <t>Строительство автомобильной дороги Подъезд к производственной базе СПК "Зимницкий" от автомобильной дороги Дубровка-Вязовск на км 2+400 в Дубровском районе Брянской области</t>
  </si>
  <si>
    <t xml:space="preserve">Строительство автомобильной дороги Подъезд к МТФ в н.п.Суворово ООО СП "Дружба"  от автомобильной дороги   "Брянск - Новозыбков" - Погар - Гремяч (обход г.Погара) на км 2+600   в Погарском районе Брянской области </t>
  </si>
  <si>
    <t>Строительство автомобильной дороги Подъезд к ферме КРС ООО Агрофирма "Слон"  от автомобильной дороги "Украина"-Бересток на км 10+600  в Севском районе Брянской области (1 пусковой комплекс)</t>
  </si>
  <si>
    <t xml:space="preserve">Строительство автомобильной дороги Подъезд к производственной базе СПК "Союз" от автомобильной дороги "Украина" - Асовица" - Голышино на км 4+450  в Севском районе Брянской области </t>
  </si>
  <si>
    <t xml:space="preserve">Строительство автомобильной дороги Подъезд к ферме КРС в н.п.Азаровка  от автомобильной дороги "Погар - Стародуб" - Андрейковичи на км 23+900 Погарского района Брянской области </t>
  </si>
  <si>
    <t xml:space="preserve">Строительство автомобильной дороги Подъезд к ферме КРС колхоз "Новая Жизнь" в с.Курковичи от автомобильной дороги   Стародуб - Курковичи на км 33+100 в Стародубском районе Брянской области </t>
  </si>
  <si>
    <t xml:space="preserve">Строительство автомобильной дороги Подъезд к ферме КРС КФХ  Пашутко В.Н. в с.Демьянки от автомобильной дороги  "Стародуб-Курковичи"-Демьянки-Азаровка на км 2+500   в Стародубском районе Брянской области </t>
  </si>
  <si>
    <t xml:space="preserve">Строительство автомобильной дороги Подъезд к ферме КРС колхоз "Имени Правды" в с.Запольские Халеевичи от автомобильной дороги   "Мартьяновка - Стародуб" - Запольские Халеевичи на км 5+700   в Стародубском районе Брянской области </t>
  </si>
  <si>
    <t>Реконструкция музея-усадьбы А.К. Толстого. Брянская обл., Почепский р-н, с. Красный Рог</t>
  </si>
  <si>
    <t>Сооружение водозаборной скважины с подключением к существующей водопроводной сети в н.п. Латыши Жуковского района</t>
  </si>
  <si>
    <t>м3/ч                           м.п               м</t>
  </si>
  <si>
    <t>25                       770                    190</t>
  </si>
  <si>
    <t>Строительство водозаборного сооружения в н.п. Рубежное Климовского района</t>
  </si>
  <si>
    <t>4,54               50</t>
  </si>
  <si>
    <t>Любохонское городское поселение Дятьковского района</t>
  </si>
  <si>
    <t>м                        м3</t>
  </si>
  <si>
    <t>175                  30</t>
  </si>
  <si>
    <t>м.п.                        м3</t>
  </si>
  <si>
    <t>26                             50</t>
  </si>
  <si>
    <t xml:space="preserve">Белоберезковское городское поселение Трубчевского района </t>
  </si>
  <si>
    <t xml:space="preserve">Реконструкция водопровода пгт Белая Березка Трубчевского района </t>
  </si>
  <si>
    <t xml:space="preserve">м.п.                       </t>
  </si>
  <si>
    <t>Унечское городское поселение Унечского района</t>
  </si>
  <si>
    <t xml:space="preserve">м3/ч                           м.п               </t>
  </si>
  <si>
    <t xml:space="preserve">160                  3585 </t>
  </si>
  <si>
    <t xml:space="preserve">Строительство водозабора в п. Радица-Крыловка Бежицкого района г.Брянска  </t>
  </si>
  <si>
    <t>Строительство ВЗУ производительностью 40 м3/ч по ул. Комарова в г.Дятьково Брянской области</t>
  </si>
  <si>
    <t>Создание туристско-рекреационного кластера "Хрустальный город", Брянская область. (Строительство (реконструкция) инженерных сетей и объектов обеспечивающей инфраструктуры. 1этап- обустройство сквера по адресу: Брянская область, г. Дятьково (в районе пересечения ул. Гоголя и ул. Ленина))</t>
  </si>
  <si>
    <t>Реконструкция стадиона "Десна" в Бежицком районе, г. Брянск (в том числе 1 этап реконструкции)</t>
  </si>
  <si>
    <t>Реконструкция здания детского сада под офис врача общей (семейной) практики в н.п. Ущерпье Клинцовского района</t>
  </si>
  <si>
    <t>Субсидии на софинасирование капитальных вложений в объекты государственной (муниципальной) собственности</t>
  </si>
  <si>
    <t>Газификация ул. Александра Ковалевского в г. Сураже</t>
  </si>
  <si>
    <t>Газификация ул. Дегтярева, Луговой, Заречной в н.п. Дятьковичи</t>
  </si>
  <si>
    <t>г. Брянск</t>
  </si>
  <si>
    <t>Пристройка к школе №43 в п.Октябрьский Бежицкого района г.Брянска</t>
  </si>
  <si>
    <t>Строительство автодороги по ул.Романа Брянского на участке между ул.Авиационной и ул. Брянского Фронта в Советском районе                    города Брянска (1 этап)</t>
  </si>
  <si>
    <t>Газификация н.п. Сенькин Ров Суражского района</t>
  </si>
  <si>
    <t>Водоснабжение н.п. Оболешево</t>
  </si>
  <si>
    <t>Модернизация объектов коммунальной инфраструктуры</t>
  </si>
  <si>
    <t>Канализационные очистные сооружения п. Добрунь Брянского района</t>
  </si>
  <si>
    <t>куб м в сут.</t>
  </si>
  <si>
    <t>Кирилловское сельское поселение Климовского района</t>
  </si>
  <si>
    <t>Газификация Дома культуры по ул.Комсомольской д.36 н.п.Вишневый</t>
  </si>
  <si>
    <t>Дом спорта "Олимпийские надежды" пр. Московский, 106б, Фокинский район, г. Брянск</t>
  </si>
  <si>
    <t>R1110</t>
  </si>
  <si>
    <t>Экономическое развитие, инвестиционная политика и инновационная экономика Брянской области (2014-2020 годы)</t>
  </si>
  <si>
    <t>Государственная поддержка малого и среднего предпринимательства в Брянской области (2014-2020 годы)</t>
  </si>
  <si>
    <t>Создание промышленных парков на территории Брянской области</t>
  </si>
  <si>
    <t>Пристройка к МБОУ СОШ №2 пгт.Клетня Брянской области</t>
  </si>
  <si>
    <t>R5200</t>
  </si>
  <si>
    <t>Пристройка на 600 мест к лицею №27 в Фокинском районе г.Брянска</t>
  </si>
  <si>
    <t>Создание новых мест в общеобразовательных организациях</t>
  </si>
  <si>
    <t xml:space="preserve">Строительство автомобильной дороги Красное-Кретово (завершающий этап) в Брасовском районе Брянской области </t>
  </si>
  <si>
    <t>Строительство водоснабжения в н.п. Лубошево</t>
  </si>
  <si>
    <t>Водоснабжение н.п. Влазовичи (3 очередь строительства)</t>
  </si>
  <si>
    <t>Газификация фельдшерско-акушерского пункта по ул. Школьной, 8 д. Строительная Слобода</t>
  </si>
  <si>
    <t>Газификация ФАП н.п.Дубровка</t>
  </si>
  <si>
    <t xml:space="preserve">Строительство автомобильной дороги Чаусы - Сопычи в Погарском районе Брянской области  </t>
  </si>
  <si>
    <t>Реконструкция автомобильной дороги Погар-Стародуб в Погарском и Стародубском районах Брянской области</t>
  </si>
  <si>
    <t>Реконструкция  автомобильной дороги "Брянск-Новозыбков"-Мглин на участке км 20+300 - км 30+450 в Почепском районе Брянской области (2 пусковой комплекс на участке км 25+300 - км 30+450)</t>
  </si>
  <si>
    <t>Реконструкция автомобильной дороги "Брянск - Новозыбков" - Мглин на участке км 10+300-км 20+300, 2 пусковой комплекс км 15+300-км 20+300 в Почепском районе Брянской области</t>
  </si>
  <si>
    <t>Реконструкция  автомобильной дороги "Брянск-Новозыбков"-Мглин на участке  км  20+300 -  км 30+450  в Почепском районе Брянской области (1 пусковой комплекс на участке км 20+300 - км 25+300)</t>
  </si>
  <si>
    <t>Реконструкция водоснабжения н.п. Лесное Суражского района Брянской области (1 очередь строительства)</t>
  </si>
  <si>
    <t>Реконструкция водоснабжения н.п.Лакомая Буда Климовского района Брянской области (1 очередь строительства)</t>
  </si>
  <si>
    <t>Реконструкция Охотничьего замка (здания литературно-мемориального музея А.К.Толстого) в с.Красный Рог Почепского района Брянской области</t>
  </si>
  <si>
    <t>Морфологический корпус г. Клинцы</t>
  </si>
  <si>
    <t>Поликлиника на 150 посещений терапевтического корпуса и первый этаж терапевтического корпуса на 50 коек районной больницы н.п.Глинищево</t>
  </si>
  <si>
    <t>Реконструкция терапевтического корпуса Жуковской ЦРБ, г.Жуковка</t>
  </si>
  <si>
    <t>Реконструкция здания библиотеки (бывшего кинотеатра "Родина") в п.г.т.Климово</t>
  </si>
  <si>
    <t>Водоснабжение комплексной жилой застройки в н.п. Бошино Карачевского района Брянской области</t>
  </si>
  <si>
    <t>Электроснабжение комплексной жилой застройки в н.п. Бошино Карачевского района Брянской области</t>
  </si>
  <si>
    <t>Газификация комплексной жилой застройки в н.п. Бошино Карачевского района Брянской области</t>
  </si>
  <si>
    <t>Газификация н.п. Дольск</t>
  </si>
  <si>
    <t xml:space="preserve">Строительство автомобильной дороги Подъезд к ФАПу и детскому саду в с. Писаревка от автомобильной дороги Унеча-Мглин на км 10+891 в Унечском районе Брянской области </t>
  </si>
  <si>
    <t>Физкультурно-оздоровительный комплекс п.г.т. Комаричи</t>
  </si>
  <si>
    <t xml:space="preserve">«Создание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обучения» (2016-2025 годы) </t>
  </si>
  <si>
    <t>Детский сад г. Стародуб Брянской области</t>
  </si>
  <si>
    <t>Строительство нового здания областного театра кукол по ул.Пушкина 12, Володарского района г.Брянска</t>
  </si>
  <si>
    <t>Городской округ "город Стародуб"</t>
  </si>
  <si>
    <t>Строительство наружного водопровода по ул.Полевая и пер.Ленина в г.Стародубе Брянской области (2 очередь)</t>
  </si>
  <si>
    <t>Строительство водопроводной сети в микрорайоне Дружба-2 г.Мглина Мглинского района Брянской области</t>
  </si>
  <si>
    <t>Новозыбковский район</t>
  </si>
  <si>
    <t>Водозаборное сооружение в н.п. Старый Вышков Новозыбковского района</t>
  </si>
  <si>
    <t>скваж.</t>
  </si>
  <si>
    <t>Водозаборное сооружение в н.п. Алешковичи Суземского района                (1-я очередь)</t>
  </si>
  <si>
    <t>Водозаборное сооружение в с.Селечня Суземского района Брянской области (1-я очередь)</t>
  </si>
  <si>
    <t>1                                              1                                         0,051</t>
  </si>
  <si>
    <t>2                                              1                                         0,746</t>
  </si>
  <si>
    <t>Севское городское поселение Севского района</t>
  </si>
  <si>
    <t>Реконструкция сетей водоснабжения в г.Севске Брянской области</t>
  </si>
  <si>
    <t>скв.</t>
  </si>
  <si>
    <t>кВт</t>
  </si>
  <si>
    <t>2016                             (1 этап)</t>
  </si>
  <si>
    <t>2016                   (3,3 км)</t>
  </si>
  <si>
    <t>Брянский областной промышленный парк по ул. Красноармейской д.103. Реконструкция</t>
  </si>
  <si>
    <t xml:space="preserve">скваж. насосн. ст. вод. башня сети </t>
  </si>
  <si>
    <t>Клетнянское городское поселение Клетнянского района</t>
  </si>
  <si>
    <t>1                                                                                              1                                         0,118</t>
  </si>
  <si>
    <t>"Производственный корпус ГУП "Унечский ветсанутильзавод" Брянской области (цех по производству мясокостной муки)</t>
  </si>
  <si>
    <t>т/год</t>
  </si>
  <si>
    <t>Городской округ "город Клинцы"</t>
  </si>
  <si>
    <t>Строительство водозабора в г. Клинцы Брянской области (пос.Банный, 2 очередь строительства. 1 этап)</t>
  </si>
  <si>
    <t>Строительство водозаборной скважины по ул.Гоголя пгт.Клетня Клетнянского района Брянской области</t>
  </si>
  <si>
    <t>Водозаборное сооружение н.п. Клюковники Навлинского района Брянской области</t>
  </si>
  <si>
    <t>1                         1               1       0,108</t>
  </si>
  <si>
    <t>Реконструкция водоснабжения по ул. Мглинская в г. Сураж Брянской области</t>
  </si>
  <si>
    <t>Строительство централизованного водоснабжения залинейной части города Унеча Унечского района Брянской области (1 очередь строительства)</t>
  </si>
  <si>
    <t>Пристройка на 500 мест к МБОУ "Снежская гимназия" Брянского района в п. Путевка Брянского района Брянской области</t>
  </si>
  <si>
    <t>Строительство школы на 500 мест по адресу: Брянская область, г.Стародуб, пер. Красноармейский, №7 А</t>
  </si>
  <si>
    <t>Газификация клуба Брянская область, Мглинский район, с.Католино, ул.Ипутьская, д.54</t>
  </si>
  <si>
    <t xml:space="preserve">Строительство автомобильной дороги Урицкий - Козелкино в Брянском районе Брянской области </t>
  </si>
  <si>
    <t>Трубчевское городское поселение Трубчевского района</t>
  </si>
  <si>
    <t>Реконструкция артезианской скважины №4 по ул. Ленина в п.Любохна Дятьковского района Брянской области</t>
  </si>
  <si>
    <t>Строительство водонапорной башни по ул. Грибанова в г. Сураж Брянской области</t>
  </si>
  <si>
    <t>Водоснабжение н.п. Алексеевка Клетнянского района Брянской области</t>
  </si>
  <si>
    <t>Газопровод низкого давления по ул. Совхозной в д. Большой Крупец Выгоничского района Брянской области</t>
  </si>
  <si>
    <t>Газификация н.п. Бологча Рогнединского района</t>
  </si>
  <si>
    <t>Газификация н.п. Ляличи Суражского района</t>
  </si>
  <si>
    <t>Водоснабжение ул. Партизанской, Ромашина, Крыловской и Новой в н.п. Толмачево Брянского района Брянской области (1 очередь строительства)</t>
  </si>
  <si>
    <t xml:space="preserve">Реконструкция водопроводных сетей в н.п.Березовка Карачевского района Брянской области    </t>
  </si>
  <si>
    <t>Реконструкция водоснабжения н.п.Дунаевский Карачевского района</t>
  </si>
  <si>
    <t>Строительство водопроводной сети по ул. Карла Маркса в с.Смолевичи Клинцовского района Брянской области</t>
  </si>
  <si>
    <t>Строительство водопроводной сети в н.п. Гулевка Клинцовского района</t>
  </si>
  <si>
    <t>Водоснабжение н.п. Клюковники Навлинского района</t>
  </si>
  <si>
    <t>Реконструкция водоснабжения н.п. Жары Навлинского района</t>
  </si>
  <si>
    <t>Водоснабжение н.п. Старая Кашовка Суражского района Брянской области (1 очередь строительства)</t>
  </si>
  <si>
    <t>Водоснабжение н.п. Рассуха Унечского района Брянской области</t>
  </si>
  <si>
    <t>Газификация н.п. Корчминка Брянского района Брянской области</t>
  </si>
  <si>
    <t>Строительство водопроводных сетей по ул. Кольцевой, ул. 8 Марта в г.Унеча Брянской области</t>
  </si>
  <si>
    <t>Строительство автомобильной дороги по ул. Дачная, ул. Каштановая, ул. Рябиновая для автобусного движения по маршруту "Автовокзал-Новый Прогресс-Больница" в г.Трубчевске Брянской области                                         (I очередь)</t>
  </si>
  <si>
    <t>Детская поликлиника на 250 посещений в смену в Фокинском районе г.Брянска</t>
  </si>
  <si>
    <t>посещ/смену</t>
  </si>
  <si>
    <t>Газификация н.п. Полховка Мглинского района</t>
  </si>
  <si>
    <t>Строительство автомобильных дорог в  микрорайоне "Дружба" с.Глинищево Брянского района Брянской области</t>
  </si>
  <si>
    <t>Строительство I очереди "Благоустройство микрорайона "Дружба" с.Глинищево Брянского района Брянской области"</t>
  </si>
  <si>
    <t>Строительство II очереди "Благоустройство микрорайона "Дружба" с.Глинищево Брянского района Брянской области"</t>
  </si>
  <si>
    <t>Реконструкция водоснабжения н.п. Лутна Клетнянского района Брянской области (1 очередь строительства)</t>
  </si>
  <si>
    <t>Реконструкция водоснабжения н.п.Бочарово Комаричского района Брянской области (1 очередь строительства)</t>
  </si>
  <si>
    <t xml:space="preserve">Реконструкция водоснабжения н.п.Остроглядово (1 очередь строительства) </t>
  </si>
  <si>
    <t>I полугодие 2017</t>
  </si>
  <si>
    <t>Утверждено</t>
  </si>
  <si>
    <t xml:space="preserve">Освоено </t>
  </si>
  <si>
    <t>Исполнено</t>
  </si>
  <si>
    <t>% испол-нения</t>
  </si>
  <si>
    <t>Детский сад на 115 мест в н.п.Мичуринский Брянского района</t>
  </si>
  <si>
    <t>Реконструкция водоснабжения н.п.Красный Завод (1 очередь строительства)</t>
  </si>
  <si>
    <t>Водозаборное сооружение ул.Плауновка в н.п. Смотрова Буда Клинцовского района Брянской области</t>
  </si>
  <si>
    <t>Наружные сети канализации пгт.Красная Гора</t>
  </si>
  <si>
    <t>Реконструкция  автомобильной дороги Унеча-Сураж  на участке км 17+970 - км 25+060 в Суражском районе Брянской области (1 пусковой комплекс км 17+970 - км 21+970)</t>
  </si>
  <si>
    <t>Спортивно-оздоровительный комплекс в микрорайоне "Шибенец" г.Фокино Дятьковского района</t>
  </si>
  <si>
    <t>Реконструкция воздухоопорной оболочки спортивного комплекса с катком (ледовый дворец "Пересвет"), г.Брянск, ул. Кромская, д.48а</t>
  </si>
  <si>
    <t>ОТЧЕТ</t>
  </si>
  <si>
    <t xml:space="preserve">об исполнении перечня объектов бюджетных инвестиций </t>
  </si>
  <si>
    <t>государственной собственности Брянской области</t>
  </si>
  <si>
    <t>за январь - декабрь 2016 года</t>
  </si>
  <si>
    <t>Водоснабжение н.п. Сачковичи                                   (1 очередь строительства)</t>
  </si>
  <si>
    <r>
      <t xml:space="preserve">скваж.                      </t>
    </r>
    <r>
      <rPr>
        <sz val="9"/>
        <color indexed="8"/>
        <rFont val="Arial"/>
        <family val="2"/>
        <charset val="204"/>
      </rPr>
      <t>в/башня                  км</t>
    </r>
  </si>
  <si>
    <r>
      <t>скваж.                      насос.станция</t>
    </r>
    <r>
      <rPr>
        <sz val="9"/>
        <color indexed="8"/>
        <rFont val="Arial"/>
        <family val="2"/>
        <charset val="204"/>
      </rPr>
      <t xml:space="preserve">                  км</t>
    </r>
  </si>
  <si>
    <t>Строительство детского сада в г.Сельцо</t>
  </si>
  <si>
    <t>муниципальной собственности Брянской области</t>
  </si>
  <si>
    <t>Г.Н. Солодун</t>
  </si>
  <si>
    <t>Латышева Н.А.</t>
  </si>
  <si>
    <t>72-14-81</t>
  </si>
  <si>
    <t>Директор департамента строительства и архитектуры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</si>
</sst>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"/>
  </numFmts>
  <fonts count="35" x14ac:knownFonts="1"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b/>
      <sz val="9"/>
      <color indexed="8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indexed="61"/>
      <name val="Arial"/>
      <family val="2"/>
      <charset val="204"/>
    </font>
    <font>
      <sz val="9"/>
      <color indexed="61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10" fillId="0" borderId="0"/>
  </cellStyleXfs>
  <cellXfs count="241">
    <xf numFmtId="0" fontId="0" fillId="0" borderId="0" xfId="0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0" fillId="4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wrapText="1"/>
    </xf>
    <xf numFmtId="0" fontId="0" fillId="5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4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0" fillId="6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0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/>
    </xf>
    <xf numFmtId="4" fontId="14" fillId="0" borderId="2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 wrapText="1"/>
    </xf>
    <xf numFmtId="49" fontId="2" fillId="6" borderId="1" xfId="0" applyNumberFormat="1" applyFont="1" applyFill="1" applyBorder="1" applyAlignment="1">
      <alignment horizontal="right" wrapText="1"/>
    </xf>
    <xf numFmtId="2" fontId="2" fillId="6" borderId="1" xfId="0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NumberFormat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left" vertical="justify"/>
    </xf>
    <xf numFmtId="0" fontId="16" fillId="6" borderId="1" xfId="0" applyFont="1" applyFill="1" applyBorder="1" applyAlignment="1">
      <alignment horizontal="left" vertical="justify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wrapText="1" readingOrder="1"/>
    </xf>
    <xf numFmtId="0" fontId="16" fillId="6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 vertical="justify"/>
    </xf>
    <xf numFmtId="0" fontId="13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18" fillId="6" borderId="1" xfId="0" applyFont="1" applyFill="1" applyBorder="1" applyAlignment="1">
      <alignment vertical="top" wrapText="1"/>
    </xf>
    <xf numFmtId="0" fontId="20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5" fontId="18" fillId="6" borderId="1" xfId="0" applyNumberFormat="1" applyFont="1" applyFill="1" applyBorder="1" applyAlignment="1">
      <alignment horizontal="right" wrapText="1"/>
    </xf>
    <xf numFmtId="165" fontId="25" fillId="6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wrapText="1"/>
    </xf>
    <xf numFmtId="4" fontId="20" fillId="0" borderId="1" xfId="0" applyNumberFormat="1" applyFont="1" applyFill="1" applyBorder="1" applyAlignment="1">
      <alignment horizontal="right" wrapText="1"/>
    </xf>
    <xf numFmtId="4" fontId="21" fillId="0" borderId="1" xfId="0" applyNumberFormat="1" applyFont="1" applyFill="1" applyBorder="1" applyAlignment="1">
      <alignment horizontal="right" wrapText="1"/>
    </xf>
    <xf numFmtId="4" fontId="20" fillId="6" borderId="1" xfId="0" applyNumberFormat="1" applyFont="1" applyFill="1" applyBorder="1" applyAlignment="1">
      <alignment horizontal="right" wrapText="1"/>
    </xf>
    <xf numFmtId="4" fontId="22" fillId="6" borderId="1" xfId="0" applyNumberFormat="1" applyFont="1" applyFill="1" applyBorder="1" applyAlignment="1">
      <alignment horizontal="right" wrapText="1"/>
    </xf>
    <xf numFmtId="4" fontId="21" fillId="6" borderId="1" xfId="0" applyNumberFormat="1" applyFont="1" applyFill="1" applyBorder="1" applyAlignment="1">
      <alignment horizontal="right" wrapText="1"/>
    </xf>
    <xf numFmtId="4" fontId="22" fillId="0" borderId="1" xfId="0" applyNumberFormat="1" applyFont="1" applyFill="1" applyBorder="1" applyAlignment="1">
      <alignment horizontal="right" wrapText="1"/>
    </xf>
    <xf numFmtId="0" fontId="17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11" fillId="2" borderId="1" xfId="0" applyNumberFormat="1" applyFont="1" applyFill="1" applyBorder="1" applyAlignment="1">
      <alignment horizontal="right" wrapText="1"/>
    </xf>
    <xf numFmtId="4" fontId="23" fillId="2" borderId="1" xfId="0" applyNumberFormat="1" applyFont="1" applyFill="1" applyBorder="1" applyAlignment="1">
      <alignment horizontal="right" wrapText="1"/>
    </xf>
    <xf numFmtId="4" fontId="11" fillId="6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wrapText="1"/>
    </xf>
    <xf numFmtId="4" fontId="20" fillId="6" borderId="1" xfId="0" applyNumberFormat="1" applyFont="1" applyFill="1" applyBorder="1" applyAlignment="1"/>
    <xf numFmtId="4" fontId="20" fillId="6" borderId="1" xfId="0" applyNumberFormat="1" applyFont="1" applyFill="1" applyBorder="1" applyAlignment="1">
      <alignment horizontal="right"/>
    </xf>
    <xf numFmtId="4" fontId="18" fillId="6" borderId="1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right" wrapText="1"/>
    </xf>
    <xf numFmtId="0" fontId="24" fillId="2" borderId="1" xfId="0" applyFont="1" applyFill="1" applyBorder="1" applyAlignment="1">
      <alignment horizontal="right" wrapText="1"/>
    </xf>
    <xf numFmtId="0" fontId="15" fillId="6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wrapText="1"/>
    </xf>
    <xf numFmtId="49" fontId="27" fillId="6" borderId="1" xfId="0" applyNumberFormat="1" applyFont="1" applyFill="1" applyBorder="1" applyAlignment="1">
      <alignment horizontal="center" wrapText="1"/>
    </xf>
    <xf numFmtId="0" fontId="27" fillId="6" borderId="1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center" wrapText="1"/>
    </xf>
    <xf numFmtId="0" fontId="24" fillId="6" borderId="1" xfId="0" applyFont="1" applyFill="1" applyBorder="1" applyAlignment="1">
      <alignment horizontal="right" wrapText="1"/>
    </xf>
    <xf numFmtId="0" fontId="27" fillId="6" borderId="1" xfId="0" applyFont="1" applyFill="1" applyBorder="1" applyAlignment="1">
      <alignment horizontal="right" wrapText="1"/>
    </xf>
    <xf numFmtId="0" fontId="27" fillId="0" borderId="1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wrapText="1"/>
    </xf>
    <xf numFmtId="49" fontId="24" fillId="0" borderId="1" xfId="1" applyNumberFormat="1" applyFont="1" applyFill="1" applyBorder="1" applyAlignment="1">
      <alignment horizontal="center" wrapText="1"/>
    </xf>
    <xf numFmtId="0" fontId="24" fillId="0" borderId="1" xfId="1" applyFont="1" applyFill="1" applyBorder="1" applyAlignment="1">
      <alignment horizontal="right" wrapText="1"/>
    </xf>
    <xf numFmtId="0" fontId="24" fillId="6" borderId="1" xfId="1" applyFont="1" applyFill="1" applyBorder="1" applyAlignment="1">
      <alignment horizontal="left" wrapText="1"/>
    </xf>
    <xf numFmtId="0" fontId="24" fillId="6" borderId="1" xfId="1" applyFont="1" applyFill="1" applyBorder="1" applyAlignment="1">
      <alignment horizontal="center" wrapText="1"/>
    </xf>
    <xf numFmtId="49" fontId="24" fillId="6" borderId="1" xfId="1" applyNumberFormat="1" applyFont="1" applyFill="1" applyBorder="1" applyAlignment="1">
      <alignment horizontal="center" wrapText="1"/>
    </xf>
    <xf numFmtId="0" fontId="24" fillId="6" borderId="1" xfId="1" applyFont="1" applyFill="1" applyBorder="1" applyAlignment="1">
      <alignment horizontal="right" wrapText="1"/>
    </xf>
    <xf numFmtId="2" fontId="28" fillId="0" borderId="1" xfId="0" applyNumberFormat="1" applyFont="1" applyBorder="1" applyAlignment="1">
      <alignment horizontal="left" wrapText="1"/>
    </xf>
    <xf numFmtId="165" fontId="24" fillId="2" borderId="1" xfId="0" applyNumberFormat="1" applyFont="1" applyFill="1" applyBorder="1" applyAlignment="1">
      <alignment horizontal="right" wrapText="1"/>
    </xf>
    <xf numFmtId="49" fontId="27" fillId="2" borderId="1" xfId="0" applyNumberFormat="1" applyFont="1" applyFill="1" applyBorder="1" applyAlignment="1">
      <alignment horizontal="center" wrapText="1"/>
    </xf>
    <xf numFmtId="49" fontId="17" fillId="8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horizontal="left" wrapText="1"/>
    </xf>
    <xf numFmtId="0" fontId="29" fillId="8" borderId="1" xfId="0" applyFont="1" applyFill="1" applyBorder="1" applyAlignment="1">
      <alignment horizontal="center" wrapText="1"/>
    </xf>
    <xf numFmtId="49" fontId="29" fillId="8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center" wrapText="1"/>
    </xf>
    <xf numFmtId="2" fontId="30" fillId="0" borderId="1" xfId="0" applyNumberFormat="1" applyFont="1" applyBorder="1" applyAlignment="1">
      <alignment horizontal="left" wrapText="1"/>
    </xf>
    <xf numFmtId="0" fontId="15" fillId="2" borderId="1" xfId="0" applyFont="1" applyFill="1" applyBorder="1" applyAlignment="1">
      <alignment horizontal="right"/>
    </xf>
    <xf numFmtId="2" fontId="24" fillId="2" borderId="1" xfId="0" applyNumberFormat="1" applyFont="1" applyFill="1" applyBorder="1" applyAlignment="1">
      <alignment horizontal="right" wrapText="1"/>
    </xf>
    <xf numFmtId="164" fontId="24" fillId="2" borderId="1" xfId="0" applyNumberFormat="1" applyFont="1" applyFill="1" applyBorder="1" applyAlignment="1">
      <alignment horizontal="right" wrapText="1"/>
    </xf>
    <xf numFmtId="2" fontId="31" fillId="0" borderId="1" xfId="0" applyNumberFormat="1" applyFont="1" applyBorder="1" applyAlignment="1">
      <alignment wrapText="1"/>
    </xf>
    <xf numFmtId="2" fontId="30" fillId="0" borderId="1" xfId="0" applyNumberFormat="1" applyFont="1" applyBorder="1" applyAlignment="1">
      <alignment wrapText="1"/>
    </xf>
    <xf numFmtId="2" fontId="28" fillId="0" borderId="1" xfId="0" applyNumberFormat="1" applyFont="1" applyBorder="1" applyAlignment="1">
      <alignment wrapText="1"/>
    </xf>
    <xf numFmtId="0" fontId="17" fillId="0" borderId="1" xfId="0" applyFont="1" applyBorder="1" applyAlignment="1"/>
    <xf numFmtId="0" fontId="29" fillId="8" borderId="3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right"/>
    </xf>
    <xf numFmtId="0" fontId="29" fillId="8" borderId="1" xfId="0" applyFont="1" applyFill="1" applyBorder="1" applyAlignment="1">
      <alignment vertical="top" wrapText="1"/>
    </xf>
    <xf numFmtId="0" fontId="17" fillId="8" borderId="1" xfId="0" applyFont="1" applyFill="1" applyBorder="1" applyAlignment="1">
      <alignment vertical="top" wrapText="1"/>
    </xf>
    <xf numFmtId="0" fontId="30" fillId="0" borderId="1" xfId="0" applyFont="1" applyBorder="1" applyAlignment="1">
      <alignment horizontal="right" wrapText="1"/>
    </xf>
    <xf numFmtId="0" fontId="17" fillId="6" borderId="1" xfId="0" applyFont="1" applyFill="1" applyBorder="1" applyAlignment="1">
      <alignment vertical="top" wrapText="1"/>
    </xf>
    <xf numFmtId="2" fontId="30" fillId="6" borderId="1" xfId="0" applyNumberFormat="1" applyFont="1" applyFill="1" applyBorder="1" applyAlignment="1">
      <alignment wrapText="1"/>
    </xf>
    <xf numFmtId="0" fontId="30" fillId="6" borderId="1" xfId="0" applyFont="1" applyFill="1" applyBorder="1" applyAlignment="1">
      <alignment horizontal="right" wrapText="1"/>
    </xf>
    <xf numFmtId="0" fontId="31" fillId="0" borderId="1" xfId="0" applyFont="1" applyBorder="1" applyAlignment="1"/>
    <xf numFmtId="0" fontId="30" fillId="0" borderId="1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wrapText="1"/>
    </xf>
    <xf numFmtId="2" fontId="31" fillId="6" borderId="1" xfId="0" applyNumberFormat="1" applyFont="1" applyFill="1" applyBorder="1" applyAlignment="1">
      <alignment wrapText="1"/>
    </xf>
    <xf numFmtId="2" fontId="28" fillId="6" borderId="1" xfId="0" applyNumberFormat="1" applyFont="1" applyFill="1" applyBorder="1" applyAlignment="1">
      <alignment wrapText="1"/>
    </xf>
    <xf numFmtId="0" fontId="31" fillId="0" borderId="1" xfId="0" applyFont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30" fillId="6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vertical="justify"/>
    </xf>
    <xf numFmtId="49" fontId="24" fillId="6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right" wrapText="1"/>
    </xf>
    <xf numFmtId="4" fontId="24" fillId="2" borderId="1" xfId="0" applyNumberFormat="1" applyFont="1" applyFill="1" applyBorder="1" applyAlignment="1">
      <alignment horizontal="right" wrapText="1"/>
    </xf>
    <xf numFmtId="4" fontId="27" fillId="2" borderId="1" xfId="0" applyNumberFormat="1" applyFont="1" applyFill="1" applyBorder="1" applyAlignment="1">
      <alignment horizontal="right" wrapText="1"/>
    </xf>
    <xf numFmtId="166" fontId="24" fillId="2" borderId="1" xfId="0" applyNumberFormat="1" applyFont="1" applyFill="1" applyBorder="1" applyAlignment="1">
      <alignment horizontal="right" wrapText="1"/>
    </xf>
    <xf numFmtId="0" fontId="15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right" wrapText="1"/>
    </xf>
    <xf numFmtId="0" fontId="15" fillId="6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center" wrapText="1"/>
    </xf>
    <xf numFmtId="4" fontId="24" fillId="6" borderId="1" xfId="0" applyNumberFormat="1" applyFont="1" applyFill="1" applyBorder="1" applyAlignment="1">
      <alignment horizontal="right" wrapText="1"/>
    </xf>
    <xf numFmtId="166" fontId="24" fillId="6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vertical="justify"/>
    </xf>
    <xf numFmtId="4" fontId="15" fillId="2" borderId="1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49" fontId="24" fillId="2" borderId="1" xfId="0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vertical="justify"/>
    </xf>
    <xf numFmtId="4" fontId="15" fillId="6" borderId="1" xfId="0" applyNumberFormat="1" applyFont="1" applyFill="1" applyBorder="1" applyAlignment="1">
      <alignment horizontal="right"/>
    </xf>
    <xf numFmtId="1" fontId="15" fillId="6" borderId="1" xfId="0" applyNumberFormat="1" applyFont="1" applyFill="1" applyBorder="1" applyAlignment="1">
      <alignment horizontal="right"/>
    </xf>
    <xf numFmtId="49" fontId="24" fillId="6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/>
    <xf numFmtId="0" fontId="17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49" fontId="13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6" borderId="4" xfId="0" applyFont="1" applyFill="1" applyBorder="1" applyAlignment="1">
      <alignment vertical="top" wrapText="1"/>
    </xf>
    <xf numFmtId="49" fontId="15" fillId="6" borderId="1" xfId="0" applyNumberFormat="1" applyFont="1" applyFill="1" applyBorder="1" applyAlignment="1">
      <alignment horizontal="right" wrapText="1"/>
    </xf>
    <xf numFmtId="0" fontId="15" fillId="6" borderId="4" xfId="0" applyFont="1" applyFill="1" applyBorder="1" applyAlignment="1">
      <alignment vertical="center" wrapText="1"/>
    </xf>
    <xf numFmtId="164" fontId="15" fillId="6" borderId="1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vertical="top" wrapText="1"/>
    </xf>
    <xf numFmtId="0" fontId="15" fillId="6" borderId="5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4" fontId="27" fillId="6" borderId="1" xfId="0" applyNumberFormat="1" applyFont="1" applyFill="1" applyBorder="1" applyAlignment="1">
      <alignment horizontal="right" wrapText="1"/>
    </xf>
    <xf numFmtId="0" fontId="27" fillId="6" borderId="1" xfId="0" applyFont="1" applyFill="1" applyBorder="1" applyAlignment="1">
      <alignment wrapText="1"/>
    </xf>
    <xf numFmtId="3" fontId="24" fillId="6" borderId="1" xfId="0" applyNumberFormat="1" applyFont="1" applyFill="1" applyBorder="1" applyAlignment="1">
      <alignment horizontal="right" wrapText="1"/>
    </xf>
    <xf numFmtId="1" fontId="24" fillId="6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32" fillId="2" borderId="1" xfId="0" applyFont="1" applyFill="1" applyBorder="1" applyAlignment="1">
      <alignment horizontal="right"/>
    </xf>
    <xf numFmtId="0" fontId="33" fillId="2" borderId="1" xfId="0" applyFont="1" applyFill="1" applyBorder="1" applyAlignment="1">
      <alignment horizontal="right"/>
    </xf>
    <xf numFmtId="0" fontId="29" fillId="6" borderId="1" xfId="0" applyFont="1" applyFill="1" applyBorder="1" applyAlignment="1">
      <alignment horizontal="center" vertical="top" wrapText="1"/>
    </xf>
    <xf numFmtId="0" fontId="29" fillId="6" borderId="1" xfId="0" applyFont="1" applyFill="1" applyBorder="1" applyAlignment="1">
      <alignment horizontal="right" wrapText="1"/>
    </xf>
    <xf numFmtId="4" fontId="5" fillId="6" borderId="1" xfId="0" applyNumberFormat="1" applyFont="1" applyFill="1" applyBorder="1" applyAlignment="1">
      <alignment horizontal="right" wrapText="1"/>
    </xf>
    <xf numFmtId="4" fontId="4" fillId="6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4" fontId="19" fillId="6" borderId="1" xfId="0" applyNumberFormat="1" applyFont="1" applyFill="1" applyBorder="1" applyAlignment="1">
      <alignment horizontal="right" wrapText="1"/>
    </xf>
    <xf numFmtId="4" fontId="25" fillId="6" borderId="1" xfId="0" applyNumberFormat="1" applyFont="1" applyFill="1" applyBorder="1" applyAlignment="1">
      <alignment horizontal="right" wrapText="1"/>
    </xf>
    <xf numFmtId="4" fontId="23" fillId="6" borderId="1" xfId="1" applyNumberFormat="1" applyFont="1" applyFill="1" applyBorder="1" applyAlignment="1">
      <alignment horizontal="right" wrapText="1"/>
    </xf>
    <xf numFmtId="4" fontId="11" fillId="6" borderId="1" xfId="1" applyNumberFormat="1" applyFont="1" applyFill="1" applyBorder="1" applyAlignment="1">
      <alignment horizontal="right" wrapText="1"/>
    </xf>
    <xf numFmtId="4" fontId="23" fillId="6" borderId="1" xfId="0" applyNumberFormat="1" applyFont="1" applyFill="1" applyBorder="1" applyAlignment="1">
      <alignment horizontal="right" wrapText="1"/>
    </xf>
    <xf numFmtId="4" fontId="21" fillId="6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19" fillId="6" borderId="1" xfId="0" applyNumberFormat="1" applyFont="1" applyFill="1" applyBorder="1" applyAlignment="1">
      <alignment horizontal="right"/>
    </xf>
    <xf numFmtId="0" fontId="31" fillId="6" borderId="1" xfId="0" applyFont="1" applyFill="1" applyBorder="1" applyAlignment="1">
      <alignment horizontal="left" wrapText="1"/>
    </xf>
    <xf numFmtId="4" fontId="5" fillId="6" borderId="7" xfId="0" applyNumberFormat="1" applyFont="1" applyFill="1" applyBorder="1" applyAlignment="1">
      <alignment horizontal="right" wrapText="1"/>
    </xf>
    <xf numFmtId="4" fontId="4" fillId="6" borderId="7" xfId="0" applyNumberFormat="1" applyFont="1" applyFill="1" applyBorder="1" applyAlignment="1">
      <alignment horizontal="right"/>
    </xf>
    <xf numFmtId="166" fontId="25" fillId="6" borderId="1" xfId="0" applyNumberFormat="1" applyFont="1" applyFill="1" applyBorder="1" applyAlignment="1">
      <alignment horizontal="right" wrapText="1"/>
    </xf>
    <xf numFmtId="166" fontId="18" fillId="6" borderId="1" xfId="0" applyNumberFormat="1" applyFont="1" applyFill="1" applyBorder="1" applyAlignment="1">
      <alignment horizontal="right" wrapText="1"/>
    </xf>
    <xf numFmtId="4" fontId="18" fillId="0" borderId="1" xfId="0" applyNumberFormat="1" applyFont="1" applyFill="1" applyBorder="1" applyAlignment="1">
      <alignment horizontal="right" wrapText="1"/>
    </xf>
    <xf numFmtId="0" fontId="1" fillId="6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6" borderId="0" xfId="0" applyFont="1" applyFill="1" applyAlignment="1">
      <alignment vertical="top" wrapText="1"/>
    </xf>
    <xf numFmtId="0" fontId="34" fillId="6" borderId="2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top" wrapText="1"/>
    </xf>
    <xf numFmtId="0" fontId="26" fillId="6" borderId="0" xfId="0" applyFont="1" applyFill="1" applyAlignment="1">
      <alignment horizontal="center" vertical="justify"/>
    </xf>
    <xf numFmtId="0" fontId="26" fillId="2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left" wrapText="1"/>
    </xf>
    <xf numFmtId="0" fontId="26" fillId="6" borderId="2" xfId="0" applyFont="1" applyFill="1" applyBorder="1" applyAlignment="1">
      <alignment horizontal="left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wrapText="1"/>
    </xf>
    <xf numFmtId="0" fontId="13" fillId="6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right" vertical="top" wrapText="1"/>
    </xf>
    <xf numFmtId="0" fontId="34" fillId="0" borderId="2" xfId="0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6;&#1085;&#1082;&#1091;&#1088;&#1089;&#1086;&#1074;%20&#1080;%20&#1082;&#1086;&#1085;&#1090;&#1088;&#1072;&#1082;&#1090;&#1086;&#1074;\&#1042;&#1077;&#1088;&#1082;&#1077;&#1077;&#1085;&#1082;&#1086;\&#1088;&#1077;&#1077;&#1089;&#1090;&#1088;%20&#1089;&#1077;&#1083;&#1086;\2016\5%20&#1092;&#1086;&#1088;&#1084;&#1072;%20&#1087;&#1086;%20&#1089;&#1077;&#1083;&#1100;&#1089;&#1080;&#1084;%20&#1076;&#1086;&#1088;&#1086;&#1075;&#1072;&#1084;%20(&#1082;%20&#1090;&#1077;&#1083;&#1077;&#1075;&#1088;&#1072;&#1084;&#1084;&#1077;)%202015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3 (2)"/>
    </sheetNames>
    <sheetDataSet>
      <sheetData sheetId="0" refreshError="1"/>
      <sheetData sheetId="1" refreshError="1"/>
      <sheetData sheetId="2" refreshError="1"/>
      <sheetData sheetId="3" refreshError="1">
        <row r="23">
          <cell r="B23" t="str">
            <v xml:space="preserve">Строительство автомобильной дороги Подъезд к МТФ № 1 в н.п. Медведи от автомобильной дороги Палужская Рудня - Заборье - Медведи на км 19+940  в Красногорском районе Брянской области </v>
          </cell>
        </row>
        <row r="24">
          <cell r="B24" t="str">
    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    </cell>
        </row>
        <row r="28">
          <cell r="B28" t="str">
            <v xml:space="preserve">Строительство автомобильной дороги Подъезд к МТФ в н.п. Курово ООО СП "Дружба"  от автомобильной дороги   "Брянск - Новозыбков" - Погар - Гремяч (обход г.Погара) на км 2+600   в Погарском районе Брянской области </v>
          </cell>
        </row>
        <row r="35">
          <cell r="B35" t="str">
            <v>Строительство автомобильной дороги Кветунь-Удолье  в Трубчевском районе Брянской области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9"/>
  <sheetViews>
    <sheetView view="pageBreakPreview" zoomScaleNormal="85" zoomScaleSheetLayoutView="100" workbookViewId="0">
      <pane xSplit="1" ySplit="7" topLeftCell="B71" activePane="bottomRight" state="frozen"/>
      <selection pane="topRight" activeCell="B1" sqref="B1"/>
      <selection pane="bottomLeft" activeCell="A8" sqref="A8"/>
      <selection pane="bottomRight" activeCell="A82" sqref="A82"/>
    </sheetView>
  </sheetViews>
  <sheetFormatPr defaultRowHeight="12.75" x14ac:dyDescent="0.2"/>
  <cols>
    <col min="1" max="1" width="38.33203125" style="23" customWidth="1"/>
    <col min="2" max="2" width="5.1640625" style="27" customWidth="1"/>
    <col min="3" max="3" width="4.6640625" style="27" customWidth="1"/>
    <col min="4" max="4" width="5.6640625" style="27" customWidth="1"/>
    <col min="5" max="5" width="6.1640625" style="27" customWidth="1"/>
    <col min="6" max="6" width="4" style="27" customWidth="1"/>
    <col min="7" max="7" width="4.1640625" style="27" customWidth="1"/>
    <col min="8" max="8" width="8.1640625" style="27" customWidth="1"/>
    <col min="9" max="9" width="5" style="27" customWidth="1"/>
    <col min="10" max="10" width="7" style="9" customWidth="1"/>
    <col min="11" max="11" width="9.33203125" style="9" customWidth="1"/>
    <col min="12" max="12" width="8.6640625" style="27" customWidth="1"/>
    <col min="13" max="13" width="18.6640625" customWidth="1"/>
    <col min="14" max="14" width="20" customWidth="1"/>
    <col min="15" max="15" width="18.33203125" customWidth="1"/>
    <col min="16" max="16" width="7.33203125" customWidth="1"/>
  </cols>
  <sheetData>
    <row r="1" spans="1:22" ht="18" customHeight="1" x14ac:dyDescent="0.2">
      <c r="A1" s="229" t="s">
        <v>414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22" ht="18.75" customHeight="1" x14ac:dyDescent="0.3">
      <c r="A2" s="230" t="s">
        <v>415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22" s="12" customFormat="1" ht="18.75" customHeight="1" x14ac:dyDescent="0.3">
      <c r="A3" s="230" t="s">
        <v>416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22" s="12" customFormat="1" ht="18.75" customHeight="1" x14ac:dyDescent="0.3">
      <c r="A4" s="230" t="s">
        <v>417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</row>
    <row r="5" spans="1:22" ht="16.5" customHeight="1" x14ac:dyDescent="0.2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1:22" ht="51" x14ac:dyDescent="0.2">
      <c r="A6" s="39" t="s">
        <v>2</v>
      </c>
      <c r="B6" s="40" t="s">
        <v>3</v>
      </c>
      <c r="C6" s="40" t="s">
        <v>4</v>
      </c>
      <c r="D6" s="40" t="s">
        <v>172</v>
      </c>
      <c r="E6" s="40" t="s">
        <v>5</v>
      </c>
      <c r="F6" s="40" t="s">
        <v>6</v>
      </c>
      <c r="G6" s="40" t="s">
        <v>7</v>
      </c>
      <c r="H6" s="40" t="s">
        <v>8</v>
      </c>
      <c r="I6" s="40" t="s">
        <v>9</v>
      </c>
      <c r="J6" s="40" t="s">
        <v>59</v>
      </c>
      <c r="K6" s="40" t="s">
        <v>60</v>
      </c>
      <c r="L6" s="40" t="s">
        <v>61</v>
      </c>
      <c r="M6" s="72" t="s">
        <v>403</v>
      </c>
      <c r="N6" s="72" t="s">
        <v>404</v>
      </c>
      <c r="O6" s="72" t="s">
        <v>405</v>
      </c>
      <c r="P6" s="73" t="s">
        <v>406</v>
      </c>
      <c r="Q6" s="20"/>
      <c r="R6" s="20"/>
      <c r="S6" s="20"/>
      <c r="T6" s="20"/>
      <c r="U6" s="20"/>
      <c r="V6" s="20"/>
    </row>
    <row r="7" spans="1:22" ht="17.25" hidden="1" customHeight="1" x14ac:dyDescent="0.2">
      <c r="A7" s="69" t="s">
        <v>10</v>
      </c>
      <c r="B7" s="70" t="s">
        <v>11</v>
      </c>
      <c r="C7" s="70" t="s">
        <v>12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6">
        <v>13</v>
      </c>
      <c r="N7" s="71">
        <v>14</v>
      </c>
      <c r="O7" s="71">
        <v>15</v>
      </c>
      <c r="P7" s="71">
        <v>16</v>
      </c>
      <c r="Q7" s="20"/>
      <c r="R7" s="20"/>
      <c r="S7" s="20"/>
      <c r="T7" s="20"/>
      <c r="U7" s="20"/>
      <c r="V7" s="20"/>
    </row>
    <row r="8" spans="1:22" ht="24.75" hidden="1" customHeight="1" x14ac:dyDescent="0.2">
      <c r="A8" s="41" t="s">
        <v>234</v>
      </c>
      <c r="B8" s="57"/>
      <c r="C8" s="57"/>
      <c r="D8" s="57"/>
      <c r="E8" s="57"/>
      <c r="F8" s="57"/>
      <c r="G8" s="57"/>
      <c r="H8" s="57"/>
      <c r="I8" s="57"/>
      <c r="J8" s="5"/>
      <c r="K8" s="5"/>
      <c r="L8" s="5"/>
      <c r="M8" s="77">
        <f>M10+M20+M48+M67+M83+M116+M222+M254</f>
        <v>846989339.55999994</v>
      </c>
      <c r="N8" s="77">
        <f t="shared" ref="N8:O8" si="0">N10+N20+N48+N67+N83+N116+N222+N254</f>
        <v>352763627.01000005</v>
      </c>
      <c r="O8" s="77">
        <f t="shared" si="0"/>
        <v>423745447.85000002</v>
      </c>
      <c r="P8" s="75">
        <f>O8/M8*100</f>
        <v>50.029608173124153</v>
      </c>
      <c r="Q8" s="20"/>
      <c r="R8" s="20"/>
      <c r="S8" s="20"/>
      <c r="T8" s="20"/>
      <c r="U8" s="20"/>
      <c r="V8" s="20"/>
    </row>
    <row r="9" spans="1:22" ht="15" hidden="1" customHeight="1" x14ac:dyDescent="0.2">
      <c r="A9" s="42" t="s">
        <v>58</v>
      </c>
      <c r="B9" s="57"/>
      <c r="C9" s="57"/>
      <c r="D9" s="57"/>
      <c r="E9" s="57"/>
      <c r="F9" s="57"/>
      <c r="G9" s="57"/>
      <c r="H9" s="57"/>
      <c r="I9" s="57"/>
      <c r="J9" s="5"/>
      <c r="K9" s="5"/>
      <c r="L9" s="5"/>
      <c r="M9" s="78"/>
      <c r="N9" s="68"/>
      <c r="O9" s="68"/>
      <c r="P9" s="68"/>
      <c r="Q9" s="20"/>
      <c r="R9" s="20"/>
      <c r="S9" s="20"/>
      <c r="T9" s="20"/>
      <c r="U9" s="20"/>
      <c r="V9" s="20"/>
    </row>
    <row r="10" spans="1:22" s="12" customFormat="1" ht="66.75" hidden="1" customHeight="1" x14ac:dyDescent="0.2">
      <c r="A10" s="43" t="s">
        <v>110</v>
      </c>
      <c r="B10" s="59" t="s">
        <v>99</v>
      </c>
      <c r="C10" s="58"/>
      <c r="D10" s="58"/>
      <c r="E10" s="58"/>
      <c r="F10" s="58"/>
      <c r="G10" s="58"/>
      <c r="H10" s="58"/>
      <c r="I10" s="58"/>
      <c r="J10" s="5"/>
      <c r="K10" s="5"/>
      <c r="L10" s="5"/>
      <c r="M10" s="79">
        <f t="shared" ref="M10:O17" si="1">M11</f>
        <v>4737795</v>
      </c>
      <c r="N10" s="79">
        <f t="shared" si="1"/>
        <v>3231316.5</v>
      </c>
      <c r="O10" s="79">
        <f t="shared" si="1"/>
        <v>4737795</v>
      </c>
      <c r="P10" s="75">
        <f t="shared" ref="P10:P73" si="2">O10/M10*100</f>
        <v>100</v>
      </c>
      <c r="Q10" s="20"/>
      <c r="R10" s="20"/>
      <c r="S10" s="20"/>
      <c r="T10" s="20"/>
      <c r="U10" s="20"/>
      <c r="V10" s="20"/>
    </row>
    <row r="11" spans="1:22" ht="64.5" hidden="1" customHeight="1" x14ac:dyDescent="0.2">
      <c r="A11" s="44" t="s">
        <v>173</v>
      </c>
      <c r="B11" s="59" t="s">
        <v>99</v>
      </c>
      <c r="C11" s="59" t="s">
        <v>140</v>
      </c>
      <c r="D11" s="59" t="s">
        <v>174</v>
      </c>
      <c r="E11" s="58"/>
      <c r="F11" s="59"/>
      <c r="G11" s="59"/>
      <c r="H11" s="59"/>
      <c r="I11" s="59"/>
      <c r="J11" s="34"/>
      <c r="K11" s="34"/>
      <c r="L11" s="5" t="s">
        <v>236</v>
      </c>
      <c r="M11" s="77">
        <f t="shared" si="1"/>
        <v>4737795</v>
      </c>
      <c r="N11" s="77">
        <f t="shared" si="1"/>
        <v>3231316.5</v>
      </c>
      <c r="O11" s="77">
        <f t="shared" si="1"/>
        <v>4737795</v>
      </c>
      <c r="P11" s="75">
        <f t="shared" si="2"/>
        <v>100</v>
      </c>
      <c r="Q11" s="20"/>
      <c r="R11" s="20"/>
      <c r="S11" s="20"/>
      <c r="T11" s="20"/>
      <c r="U11" s="20"/>
      <c r="V11" s="20"/>
    </row>
    <row r="12" spans="1:22" ht="29.25" hidden="1" customHeight="1" x14ac:dyDescent="0.2">
      <c r="A12" s="43" t="s">
        <v>31</v>
      </c>
      <c r="B12" s="59" t="s">
        <v>99</v>
      </c>
      <c r="C12" s="59" t="s">
        <v>140</v>
      </c>
      <c r="D12" s="59" t="s">
        <v>174</v>
      </c>
      <c r="E12" s="59">
        <v>819</v>
      </c>
      <c r="F12" s="59"/>
      <c r="G12" s="59"/>
      <c r="H12" s="59"/>
      <c r="I12" s="59"/>
      <c r="J12" s="34"/>
      <c r="K12" s="34"/>
      <c r="L12" s="5"/>
      <c r="M12" s="77">
        <f>M14</f>
        <v>4737795</v>
      </c>
      <c r="N12" s="77">
        <f t="shared" ref="N12:O12" si="3">N14</f>
        <v>3231316.5</v>
      </c>
      <c r="O12" s="77">
        <f t="shared" si="3"/>
        <v>4737795</v>
      </c>
      <c r="P12" s="75">
        <f t="shared" si="2"/>
        <v>100</v>
      </c>
      <c r="Q12" s="20"/>
      <c r="R12" s="20"/>
      <c r="S12" s="20"/>
      <c r="T12" s="20"/>
      <c r="U12" s="20"/>
      <c r="V12" s="20"/>
    </row>
    <row r="13" spans="1:22" ht="40.5" hidden="1" customHeight="1" x14ac:dyDescent="0.2">
      <c r="A13" s="43" t="s">
        <v>64</v>
      </c>
      <c r="B13" s="59" t="s">
        <v>99</v>
      </c>
      <c r="C13" s="59" t="s">
        <v>140</v>
      </c>
      <c r="D13" s="59" t="s">
        <v>174</v>
      </c>
      <c r="E13" s="59">
        <v>819</v>
      </c>
      <c r="F13" s="59"/>
      <c r="G13" s="59"/>
      <c r="H13" s="59"/>
      <c r="I13" s="59"/>
      <c r="J13" s="34"/>
      <c r="K13" s="34"/>
      <c r="L13" s="5"/>
      <c r="M13" s="77">
        <f>M14</f>
        <v>4737795</v>
      </c>
      <c r="N13" s="77">
        <f t="shared" ref="N13:O13" si="4">N14</f>
        <v>3231316.5</v>
      </c>
      <c r="O13" s="77">
        <f t="shared" si="4"/>
        <v>4737795</v>
      </c>
      <c r="P13" s="75">
        <f t="shared" si="2"/>
        <v>100</v>
      </c>
      <c r="Q13" s="20"/>
      <c r="R13" s="20"/>
      <c r="S13" s="20"/>
      <c r="T13" s="20"/>
      <c r="U13" s="20"/>
      <c r="V13" s="20"/>
    </row>
    <row r="14" spans="1:22" ht="30.75" hidden="1" customHeight="1" x14ac:dyDescent="0.2">
      <c r="A14" s="43" t="s">
        <v>98</v>
      </c>
      <c r="B14" s="59" t="s">
        <v>99</v>
      </c>
      <c r="C14" s="59" t="s">
        <v>140</v>
      </c>
      <c r="D14" s="59" t="s">
        <v>174</v>
      </c>
      <c r="E14" s="59">
        <v>819</v>
      </c>
      <c r="F14" s="59" t="s">
        <v>99</v>
      </c>
      <c r="G14" s="59"/>
      <c r="H14" s="59"/>
      <c r="I14" s="59"/>
      <c r="J14" s="34"/>
      <c r="K14" s="34"/>
      <c r="L14" s="5"/>
      <c r="M14" s="77">
        <f t="shared" si="1"/>
        <v>4737795</v>
      </c>
      <c r="N14" s="77">
        <f t="shared" si="1"/>
        <v>3231316.5</v>
      </c>
      <c r="O14" s="77">
        <f t="shared" si="1"/>
        <v>4737795</v>
      </c>
      <c r="P14" s="75">
        <f t="shared" si="2"/>
        <v>100</v>
      </c>
      <c r="Q14" s="20"/>
      <c r="R14" s="20"/>
      <c r="S14" s="20"/>
      <c r="T14" s="20"/>
      <c r="U14" s="20"/>
      <c r="V14" s="20"/>
    </row>
    <row r="15" spans="1:22" ht="52.5" hidden="1" customHeight="1" x14ac:dyDescent="0.2">
      <c r="A15" s="43" t="s">
        <v>100</v>
      </c>
      <c r="B15" s="59" t="s">
        <v>99</v>
      </c>
      <c r="C15" s="59" t="s">
        <v>140</v>
      </c>
      <c r="D15" s="59" t="s">
        <v>174</v>
      </c>
      <c r="E15" s="59">
        <v>819</v>
      </c>
      <c r="F15" s="59" t="s">
        <v>99</v>
      </c>
      <c r="G15" s="59" t="s">
        <v>23</v>
      </c>
      <c r="H15" s="59"/>
      <c r="I15" s="59"/>
      <c r="J15" s="34"/>
      <c r="K15" s="34"/>
      <c r="L15" s="5"/>
      <c r="M15" s="77">
        <f t="shared" si="1"/>
        <v>4737795</v>
      </c>
      <c r="N15" s="77">
        <f t="shared" si="1"/>
        <v>3231316.5</v>
      </c>
      <c r="O15" s="77">
        <f t="shared" si="1"/>
        <v>4737795</v>
      </c>
      <c r="P15" s="75">
        <f t="shared" si="2"/>
        <v>100</v>
      </c>
      <c r="Q15" s="20"/>
      <c r="R15" s="20"/>
      <c r="S15" s="20"/>
      <c r="T15" s="20"/>
      <c r="U15" s="20"/>
      <c r="V15" s="20"/>
    </row>
    <row r="16" spans="1:22" ht="42.75" hidden="1" customHeight="1" x14ac:dyDescent="0.2">
      <c r="A16" s="43" t="s">
        <v>33</v>
      </c>
      <c r="B16" s="59" t="s">
        <v>99</v>
      </c>
      <c r="C16" s="59" t="s">
        <v>140</v>
      </c>
      <c r="D16" s="59" t="s">
        <v>174</v>
      </c>
      <c r="E16" s="59">
        <v>819</v>
      </c>
      <c r="F16" s="59" t="s">
        <v>99</v>
      </c>
      <c r="G16" s="59" t="s">
        <v>23</v>
      </c>
      <c r="H16" s="59" t="s">
        <v>175</v>
      </c>
      <c r="I16" s="59"/>
      <c r="J16" s="34"/>
      <c r="K16" s="34"/>
      <c r="L16" s="5"/>
      <c r="M16" s="77">
        <f t="shared" si="1"/>
        <v>4737795</v>
      </c>
      <c r="N16" s="77">
        <f t="shared" si="1"/>
        <v>3231316.5</v>
      </c>
      <c r="O16" s="77">
        <f t="shared" si="1"/>
        <v>4737795</v>
      </c>
      <c r="P16" s="75">
        <f t="shared" si="2"/>
        <v>100</v>
      </c>
      <c r="Q16" s="20"/>
      <c r="R16" s="20"/>
      <c r="S16" s="20"/>
      <c r="T16" s="20"/>
      <c r="U16" s="20"/>
      <c r="V16" s="20"/>
    </row>
    <row r="17" spans="1:22" ht="54.75" hidden="1" customHeight="1" x14ac:dyDescent="0.2">
      <c r="A17" s="43" t="s">
        <v>101</v>
      </c>
      <c r="B17" s="59" t="s">
        <v>99</v>
      </c>
      <c r="C17" s="59" t="s">
        <v>140</v>
      </c>
      <c r="D17" s="59" t="s">
        <v>174</v>
      </c>
      <c r="E17" s="59">
        <v>819</v>
      </c>
      <c r="F17" s="59" t="s">
        <v>99</v>
      </c>
      <c r="G17" s="59" t="s">
        <v>23</v>
      </c>
      <c r="H17" s="59" t="s">
        <v>175</v>
      </c>
      <c r="I17" s="59" t="s">
        <v>35</v>
      </c>
      <c r="J17" s="34"/>
      <c r="K17" s="34"/>
      <c r="L17" s="5"/>
      <c r="M17" s="77">
        <f t="shared" si="1"/>
        <v>4737795</v>
      </c>
      <c r="N17" s="77">
        <f t="shared" si="1"/>
        <v>3231316.5</v>
      </c>
      <c r="O17" s="77">
        <f t="shared" si="1"/>
        <v>4737795</v>
      </c>
      <c r="P17" s="75">
        <f t="shared" si="2"/>
        <v>100</v>
      </c>
      <c r="Q17" s="20"/>
      <c r="R17" s="20"/>
      <c r="S17" s="20"/>
      <c r="T17" s="20"/>
      <c r="U17" s="20"/>
      <c r="V17" s="20"/>
    </row>
    <row r="18" spans="1:22" ht="63.75" hidden="1" customHeight="1" x14ac:dyDescent="0.2">
      <c r="A18" s="42" t="s">
        <v>102</v>
      </c>
      <c r="B18" s="63" t="s">
        <v>99</v>
      </c>
      <c r="C18" s="63" t="s">
        <v>140</v>
      </c>
      <c r="D18" s="63" t="s">
        <v>174</v>
      </c>
      <c r="E18" s="63">
        <v>819</v>
      </c>
      <c r="F18" s="63" t="s">
        <v>99</v>
      </c>
      <c r="G18" s="63" t="s">
        <v>23</v>
      </c>
      <c r="H18" s="63" t="s">
        <v>175</v>
      </c>
      <c r="I18" s="63" t="s">
        <v>35</v>
      </c>
      <c r="J18" s="34" t="s">
        <v>118</v>
      </c>
      <c r="K18" s="34" t="s">
        <v>119</v>
      </c>
      <c r="L18" s="34" t="s">
        <v>222</v>
      </c>
      <c r="M18" s="78">
        <f>5137500-419705+20000</f>
        <v>4737795</v>
      </c>
      <c r="N18" s="94">
        <v>3231316.5</v>
      </c>
      <c r="O18" s="89">
        <v>4737795</v>
      </c>
      <c r="P18" s="74">
        <f t="shared" si="2"/>
        <v>100</v>
      </c>
      <c r="Q18" s="20"/>
      <c r="R18" s="20"/>
      <c r="S18" s="20"/>
      <c r="T18" s="20"/>
      <c r="U18" s="20"/>
      <c r="V18" s="20"/>
    </row>
    <row r="19" spans="1:22" s="20" customFormat="1" ht="39.75" hidden="1" customHeight="1" x14ac:dyDescent="0.2">
      <c r="A19" s="45" t="s">
        <v>191</v>
      </c>
      <c r="B19" s="65"/>
      <c r="C19" s="65"/>
      <c r="D19" s="65"/>
      <c r="E19" s="65"/>
      <c r="F19" s="65"/>
      <c r="G19" s="65"/>
      <c r="H19" s="65"/>
      <c r="I19" s="65"/>
      <c r="J19" s="35"/>
      <c r="K19" s="35"/>
      <c r="L19" s="35"/>
      <c r="M19" s="80">
        <f>1497578.5+8900</f>
        <v>1506478.5</v>
      </c>
      <c r="N19" s="94">
        <v>0</v>
      </c>
      <c r="O19" s="89">
        <v>1506478.5</v>
      </c>
      <c r="P19" s="74">
        <f t="shared" si="2"/>
        <v>100</v>
      </c>
    </row>
    <row r="20" spans="1:22" ht="28.5" hidden="1" customHeight="1" x14ac:dyDescent="0.2">
      <c r="A20" s="43" t="s">
        <v>28</v>
      </c>
      <c r="B20" s="58" t="s">
        <v>25</v>
      </c>
      <c r="C20" s="58">
        <v>0</v>
      </c>
      <c r="D20" s="58"/>
      <c r="E20" s="57"/>
      <c r="F20" s="57"/>
      <c r="G20" s="57"/>
      <c r="H20" s="57"/>
      <c r="I20" s="57"/>
      <c r="J20" s="5"/>
      <c r="K20" s="5"/>
      <c r="L20" s="5"/>
      <c r="M20" s="79">
        <f>M22+M32</f>
        <v>454916568.68000001</v>
      </c>
      <c r="N20" s="79">
        <f t="shared" ref="N20:O20" si="5">N22+N32</f>
        <v>108947305.56</v>
      </c>
      <c r="O20" s="79">
        <f t="shared" si="5"/>
        <v>110910607.73</v>
      </c>
      <c r="P20" s="75">
        <f t="shared" si="2"/>
        <v>24.380428273215387</v>
      </c>
      <c r="Q20" s="20"/>
      <c r="R20" s="20"/>
      <c r="S20" s="20"/>
      <c r="T20" s="20"/>
      <c r="U20" s="20"/>
      <c r="V20" s="20"/>
    </row>
    <row r="21" spans="1:22" s="12" customFormat="1" ht="27" hidden="1" customHeight="1" x14ac:dyDescent="0.2">
      <c r="A21" s="43" t="s">
        <v>179</v>
      </c>
      <c r="B21" s="58">
        <v>14</v>
      </c>
      <c r="C21" s="58">
        <v>0</v>
      </c>
      <c r="D21" s="58">
        <v>18</v>
      </c>
      <c r="E21" s="57"/>
      <c r="F21" s="57"/>
      <c r="G21" s="57"/>
      <c r="H21" s="57"/>
      <c r="I21" s="57"/>
      <c r="J21" s="5"/>
      <c r="K21" s="5"/>
      <c r="L21" s="5"/>
      <c r="M21" s="79">
        <f>M22+M32</f>
        <v>454916568.68000001</v>
      </c>
      <c r="N21" s="79">
        <f t="shared" ref="N21:O21" si="6">N22+N32</f>
        <v>108947305.56</v>
      </c>
      <c r="O21" s="79">
        <f t="shared" si="6"/>
        <v>110910607.73</v>
      </c>
      <c r="P21" s="75">
        <f t="shared" si="2"/>
        <v>24.380428273215387</v>
      </c>
      <c r="Q21" s="20"/>
      <c r="R21" s="20"/>
      <c r="S21" s="20"/>
      <c r="T21" s="20"/>
      <c r="U21" s="20"/>
      <c r="V21" s="20"/>
    </row>
    <row r="22" spans="1:22" ht="32.25" hidden="1" customHeight="1" x14ac:dyDescent="0.2">
      <c r="A22" s="43" t="s">
        <v>93</v>
      </c>
      <c r="B22" s="58">
        <v>14</v>
      </c>
      <c r="C22" s="58">
        <v>0</v>
      </c>
      <c r="D22" s="58">
        <v>18</v>
      </c>
      <c r="E22" s="58">
        <v>814</v>
      </c>
      <c r="F22" s="57"/>
      <c r="G22" s="57"/>
      <c r="H22" s="57"/>
      <c r="I22" s="57"/>
      <c r="J22" s="5"/>
      <c r="K22" s="5"/>
      <c r="L22" s="5"/>
      <c r="M22" s="77">
        <f>M23</f>
        <v>383439503.60000002</v>
      </c>
      <c r="N22" s="77">
        <f t="shared" ref="N22:O24" si="7">N23</f>
        <v>39460820.25</v>
      </c>
      <c r="O22" s="77">
        <f t="shared" si="7"/>
        <v>39433543.700000003</v>
      </c>
      <c r="P22" s="75">
        <f t="shared" si="2"/>
        <v>10.28416303739446</v>
      </c>
      <c r="Q22" s="20"/>
      <c r="R22" s="20"/>
      <c r="S22" s="20"/>
      <c r="T22" s="20"/>
      <c r="U22" s="20"/>
      <c r="V22" s="20"/>
    </row>
    <row r="23" spans="1:22" s="12" customFormat="1" ht="21" hidden="1" customHeight="1" x14ac:dyDescent="0.2">
      <c r="A23" s="43" t="s">
        <v>27</v>
      </c>
      <c r="B23" s="58">
        <v>14</v>
      </c>
      <c r="C23" s="58">
        <v>0</v>
      </c>
      <c r="D23" s="58">
        <v>18</v>
      </c>
      <c r="E23" s="58">
        <v>814</v>
      </c>
      <c r="F23" s="59" t="s">
        <v>23</v>
      </c>
      <c r="G23" s="57"/>
      <c r="H23" s="57"/>
      <c r="I23" s="57"/>
      <c r="J23" s="5"/>
      <c r="K23" s="5"/>
      <c r="L23" s="5"/>
      <c r="M23" s="77">
        <f>M24</f>
        <v>383439503.60000002</v>
      </c>
      <c r="N23" s="77">
        <f t="shared" si="7"/>
        <v>39460820.25</v>
      </c>
      <c r="O23" s="77">
        <f t="shared" si="7"/>
        <v>39433543.700000003</v>
      </c>
      <c r="P23" s="75">
        <f t="shared" si="2"/>
        <v>10.28416303739446</v>
      </c>
      <c r="Q23" s="20"/>
      <c r="R23" s="20"/>
      <c r="S23" s="20"/>
      <c r="T23" s="20"/>
      <c r="U23" s="20"/>
      <c r="V23" s="20"/>
    </row>
    <row r="24" spans="1:22" s="12" customFormat="1" ht="26.25" hidden="1" customHeight="1" x14ac:dyDescent="0.2">
      <c r="A24" s="43" t="s">
        <v>29</v>
      </c>
      <c r="B24" s="58">
        <v>14</v>
      </c>
      <c r="C24" s="58">
        <v>0</v>
      </c>
      <c r="D24" s="58">
        <v>18</v>
      </c>
      <c r="E24" s="58">
        <v>814</v>
      </c>
      <c r="F24" s="59" t="s">
        <v>23</v>
      </c>
      <c r="G24" s="59" t="s">
        <v>15</v>
      </c>
      <c r="H24" s="57"/>
      <c r="I24" s="57"/>
      <c r="J24" s="5"/>
      <c r="K24" s="5"/>
      <c r="L24" s="5"/>
      <c r="M24" s="77">
        <f>M25</f>
        <v>383439503.60000002</v>
      </c>
      <c r="N24" s="77">
        <f t="shared" si="7"/>
        <v>39460820.25</v>
      </c>
      <c r="O24" s="77">
        <f t="shared" si="7"/>
        <v>39433543.700000003</v>
      </c>
      <c r="P24" s="75">
        <f t="shared" si="2"/>
        <v>10.28416303739446</v>
      </c>
      <c r="Q24" s="20"/>
      <c r="R24" s="20"/>
      <c r="S24" s="20"/>
      <c r="T24" s="20"/>
      <c r="U24" s="20"/>
      <c r="V24" s="20"/>
    </row>
    <row r="25" spans="1:22" s="12" customFormat="1" ht="81" hidden="1" customHeight="1" x14ac:dyDescent="0.2">
      <c r="A25" s="43" t="s">
        <v>92</v>
      </c>
      <c r="B25" s="58" t="s">
        <v>25</v>
      </c>
      <c r="C25" s="58">
        <v>0</v>
      </c>
      <c r="D25" s="58">
        <v>18</v>
      </c>
      <c r="E25" s="58">
        <v>814</v>
      </c>
      <c r="F25" s="58" t="s">
        <v>23</v>
      </c>
      <c r="G25" s="58" t="s">
        <v>15</v>
      </c>
      <c r="H25" s="58">
        <v>13890</v>
      </c>
      <c r="I25" s="57"/>
      <c r="J25" s="5"/>
      <c r="K25" s="5"/>
      <c r="L25" s="5"/>
      <c r="M25" s="77">
        <f>M26+M29</f>
        <v>383439503.60000002</v>
      </c>
      <c r="N25" s="77">
        <f t="shared" ref="N25:O25" si="8">N26+N29</f>
        <v>39460820.25</v>
      </c>
      <c r="O25" s="77">
        <f t="shared" si="8"/>
        <v>39433543.700000003</v>
      </c>
      <c r="P25" s="75">
        <f t="shared" si="2"/>
        <v>10.28416303739446</v>
      </c>
      <c r="Q25" s="20"/>
      <c r="R25" s="20"/>
      <c r="S25" s="20"/>
      <c r="T25" s="20"/>
      <c r="U25" s="20"/>
      <c r="V25" s="20"/>
    </row>
    <row r="26" spans="1:22" ht="77.25" hidden="1" customHeight="1" x14ac:dyDescent="0.2">
      <c r="A26" s="41" t="s">
        <v>190</v>
      </c>
      <c r="B26" s="58" t="s">
        <v>25</v>
      </c>
      <c r="C26" s="58">
        <v>0</v>
      </c>
      <c r="D26" s="58">
        <v>18</v>
      </c>
      <c r="E26" s="58">
        <v>814</v>
      </c>
      <c r="F26" s="58" t="s">
        <v>23</v>
      </c>
      <c r="G26" s="58" t="s">
        <v>15</v>
      </c>
      <c r="H26" s="58">
        <v>13890</v>
      </c>
      <c r="I26" s="58">
        <v>465</v>
      </c>
      <c r="J26" s="5"/>
      <c r="K26" s="5"/>
      <c r="L26" s="5"/>
      <c r="M26" s="77">
        <f>M28</f>
        <v>14256425.68</v>
      </c>
      <c r="N26" s="77">
        <f t="shared" ref="N26:O26" si="9">N28</f>
        <v>14256425.68</v>
      </c>
      <c r="O26" s="77">
        <f t="shared" si="9"/>
        <v>14256425.68</v>
      </c>
      <c r="P26" s="75">
        <f t="shared" si="2"/>
        <v>100</v>
      </c>
      <c r="Q26" s="20"/>
      <c r="R26" s="20"/>
      <c r="S26" s="20"/>
      <c r="T26" s="20"/>
      <c r="U26" s="20"/>
      <c r="V26" s="20"/>
    </row>
    <row r="27" spans="1:22" s="12" customFormat="1" ht="28.5" hidden="1" customHeight="1" x14ac:dyDescent="0.2">
      <c r="A27" s="41" t="s">
        <v>111</v>
      </c>
      <c r="B27" s="58"/>
      <c r="C27" s="58"/>
      <c r="D27" s="58"/>
      <c r="E27" s="58"/>
      <c r="F27" s="58"/>
      <c r="G27" s="58"/>
      <c r="H27" s="58"/>
      <c r="I27" s="58"/>
      <c r="J27" s="5"/>
      <c r="K27" s="5"/>
      <c r="L27" s="5"/>
      <c r="M27" s="77">
        <f>M28</f>
        <v>14256425.68</v>
      </c>
      <c r="N27" s="77">
        <f t="shared" ref="N27:O27" si="10">N28</f>
        <v>14256425.68</v>
      </c>
      <c r="O27" s="77">
        <f t="shared" si="10"/>
        <v>14256425.68</v>
      </c>
      <c r="P27" s="75">
        <f t="shared" si="2"/>
        <v>100</v>
      </c>
      <c r="Q27" s="20"/>
      <c r="R27" s="20"/>
      <c r="S27" s="20"/>
      <c r="T27" s="20"/>
      <c r="U27" s="20"/>
      <c r="V27" s="20"/>
    </row>
    <row r="28" spans="1:22" ht="38.25" hidden="1" customHeight="1" x14ac:dyDescent="0.2">
      <c r="A28" s="46" t="s">
        <v>145</v>
      </c>
      <c r="B28" s="57" t="s">
        <v>25</v>
      </c>
      <c r="C28" s="57">
        <v>0</v>
      </c>
      <c r="D28" s="57">
        <v>18</v>
      </c>
      <c r="E28" s="57">
        <v>814</v>
      </c>
      <c r="F28" s="57" t="s">
        <v>23</v>
      </c>
      <c r="G28" s="57" t="s">
        <v>15</v>
      </c>
      <c r="H28" s="57">
        <v>13890</v>
      </c>
      <c r="I28" s="57">
        <v>465</v>
      </c>
      <c r="J28" s="5" t="s">
        <v>88</v>
      </c>
      <c r="K28" s="5">
        <v>130</v>
      </c>
      <c r="L28" s="5">
        <v>2016</v>
      </c>
      <c r="M28" s="78">
        <v>14256425.68</v>
      </c>
      <c r="N28" s="94">
        <v>14256425.68</v>
      </c>
      <c r="O28" s="94">
        <v>14256425.68</v>
      </c>
      <c r="P28" s="74">
        <f t="shared" si="2"/>
        <v>100</v>
      </c>
      <c r="Q28" s="20"/>
      <c r="R28" s="20"/>
      <c r="S28" s="20"/>
      <c r="T28" s="20"/>
      <c r="U28" s="20"/>
      <c r="V28" s="20"/>
    </row>
    <row r="29" spans="1:22" s="12" customFormat="1" ht="51" hidden="1" customHeight="1" x14ac:dyDescent="0.2">
      <c r="A29" s="41" t="s">
        <v>167</v>
      </c>
      <c r="B29" s="58" t="s">
        <v>25</v>
      </c>
      <c r="C29" s="58">
        <v>0</v>
      </c>
      <c r="D29" s="58">
        <v>18</v>
      </c>
      <c r="E29" s="58">
        <v>814</v>
      </c>
      <c r="F29" s="58" t="s">
        <v>23</v>
      </c>
      <c r="G29" s="58" t="s">
        <v>15</v>
      </c>
      <c r="H29" s="58">
        <v>13890</v>
      </c>
      <c r="I29" s="60">
        <v>823</v>
      </c>
      <c r="J29" s="5"/>
      <c r="K29" s="5"/>
      <c r="L29" s="5"/>
      <c r="M29" s="77">
        <f>M30</f>
        <v>369183077.92000002</v>
      </c>
      <c r="N29" s="77">
        <f t="shared" ref="N29:O30" si="11">N30</f>
        <v>25204394.57</v>
      </c>
      <c r="O29" s="77">
        <f t="shared" si="11"/>
        <v>25177118.02</v>
      </c>
      <c r="P29" s="75">
        <f t="shared" si="2"/>
        <v>6.8196836544755568</v>
      </c>
      <c r="Q29" s="20"/>
      <c r="R29" s="20"/>
      <c r="S29" s="20"/>
      <c r="T29" s="20"/>
      <c r="U29" s="20"/>
      <c r="V29" s="20"/>
    </row>
    <row r="30" spans="1:22" s="12" customFormat="1" ht="69.75" hidden="1" customHeight="1" x14ac:dyDescent="0.2">
      <c r="A30" s="43" t="s">
        <v>105</v>
      </c>
      <c r="B30" s="58">
        <v>14</v>
      </c>
      <c r="C30" s="58">
        <v>0</v>
      </c>
      <c r="D30" s="58">
        <v>18</v>
      </c>
      <c r="E30" s="58">
        <v>814</v>
      </c>
      <c r="F30" s="58" t="s">
        <v>23</v>
      </c>
      <c r="G30" s="58" t="s">
        <v>15</v>
      </c>
      <c r="H30" s="58">
        <v>13890</v>
      </c>
      <c r="I30" s="60">
        <v>823</v>
      </c>
      <c r="J30" s="5"/>
      <c r="K30" s="5"/>
      <c r="L30" s="5"/>
      <c r="M30" s="77">
        <f>M31</f>
        <v>369183077.92000002</v>
      </c>
      <c r="N30" s="77">
        <f t="shared" si="11"/>
        <v>25204394.57</v>
      </c>
      <c r="O30" s="77">
        <f t="shared" si="11"/>
        <v>25177118.02</v>
      </c>
      <c r="P30" s="75">
        <f t="shared" si="2"/>
        <v>6.8196836544755568</v>
      </c>
      <c r="Q30" s="20"/>
      <c r="R30" s="20"/>
      <c r="S30" s="20"/>
      <c r="T30" s="20"/>
      <c r="U30" s="20"/>
      <c r="V30" s="20"/>
    </row>
    <row r="31" spans="1:22" s="12" customFormat="1" ht="39" hidden="1" customHeight="1" x14ac:dyDescent="0.2">
      <c r="A31" s="46" t="s">
        <v>145</v>
      </c>
      <c r="B31" s="57">
        <v>14</v>
      </c>
      <c r="C31" s="57">
        <v>0</v>
      </c>
      <c r="D31" s="57">
        <v>18</v>
      </c>
      <c r="E31" s="57">
        <v>814</v>
      </c>
      <c r="F31" s="57" t="s">
        <v>23</v>
      </c>
      <c r="G31" s="57" t="s">
        <v>15</v>
      </c>
      <c r="H31" s="57">
        <v>13890</v>
      </c>
      <c r="I31" s="61">
        <v>823</v>
      </c>
      <c r="J31" s="5" t="s">
        <v>88</v>
      </c>
      <c r="K31" s="5">
        <v>130</v>
      </c>
      <c r="L31" s="5">
        <v>2016</v>
      </c>
      <c r="M31" s="80">
        <v>369183077.92000002</v>
      </c>
      <c r="N31" s="94">
        <v>25204394.57</v>
      </c>
      <c r="O31" s="94">
        <v>25177118.02</v>
      </c>
      <c r="P31" s="74">
        <f t="shared" si="2"/>
        <v>6.8196836544755568</v>
      </c>
      <c r="Q31" s="20"/>
      <c r="R31" s="20"/>
      <c r="S31" s="20"/>
      <c r="T31" s="20"/>
      <c r="U31" s="20"/>
      <c r="V31" s="20"/>
    </row>
    <row r="32" spans="1:22" ht="25.5" hidden="1" customHeight="1" x14ac:dyDescent="0.2">
      <c r="A32" s="43" t="s">
        <v>31</v>
      </c>
      <c r="B32" s="58">
        <v>14</v>
      </c>
      <c r="C32" s="58">
        <v>0</v>
      </c>
      <c r="D32" s="58">
        <v>18</v>
      </c>
      <c r="E32" s="58">
        <v>819</v>
      </c>
      <c r="F32" s="58"/>
      <c r="G32" s="57"/>
      <c r="H32" s="57"/>
      <c r="I32" s="57"/>
      <c r="J32" s="5"/>
      <c r="K32" s="5"/>
      <c r="L32" s="5"/>
      <c r="M32" s="79">
        <f>M33</f>
        <v>71477065.079999998</v>
      </c>
      <c r="N32" s="79">
        <f t="shared" ref="N32:O33" si="12">N33</f>
        <v>69486485.310000002</v>
      </c>
      <c r="O32" s="79">
        <f t="shared" si="12"/>
        <v>71477064.030000001</v>
      </c>
      <c r="P32" s="75">
        <f t="shared" si="2"/>
        <v>99.999998530997331</v>
      </c>
      <c r="Q32" s="20"/>
      <c r="R32" s="20"/>
      <c r="S32" s="20"/>
      <c r="T32" s="20"/>
      <c r="U32" s="20"/>
      <c r="V32" s="20"/>
    </row>
    <row r="33" spans="1:22" ht="39" hidden="1" customHeight="1" x14ac:dyDescent="0.2">
      <c r="A33" s="43" t="s">
        <v>64</v>
      </c>
      <c r="B33" s="58">
        <v>14</v>
      </c>
      <c r="C33" s="58">
        <v>0</v>
      </c>
      <c r="D33" s="58">
        <v>18</v>
      </c>
      <c r="E33" s="58">
        <v>819</v>
      </c>
      <c r="F33" s="58"/>
      <c r="G33" s="57"/>
      <c r="H33" s="57"/>
      <c r="I33" s="57"/>
      <c r="J33" s="5"/>
      <c r="K33" s="5"/>
      <c r="L33" s="5"/>
      <c r="M33" s="77">
        <f>M34</f>
        <v>71477065.079999998</v>
      </c>
      <c r="N33" s="77">
        <f t="shared" si="12"/>
        <v>69486485.310000002</v>
      </c>
      <c r="O33" s="77">
        <f t="shared" si="12"/>
        <v>71477064.030000001</v>
      </c>
      <c r="P33" s="75">
        <f t="shared" si="2"/>
        <v>99.999998530997331</v>
      </c>
      <c r="Q33" s="20"/>
      <c r="R33" s="20"/>
      <c r="S33" s="20"/>
      <c r="T33" s="20"/>
      <c r="U33" s="20"/>
      <c r="V33" s="20"/>
    </row>
    <row r="34" spans="1:22" ht="12.75" hidden="1" customHeight="1" x14ac:dyDescent="0.2">
      <c r="A34" s="43" t="s">
        <v>27</v>
      </c>
      <c r="B34" s="58" t="s">
        <v>25</v>
      </c>
      <c r="C34" s="58">
        <v>0</v>
      </c>
      <c r="D34" s="58">
        <v>18</v>
      </c>
      <c r="E34" s="58" t="s">
        <v>32</v>
      </c>
      <c r="F34" s="58" t="s">
        <v>23</v>
      </c>
      <c r="G34" s="58" t="s">
        <v>0</v>
      </c>
      <c r="H34" s="58" t="s">
        <v>0</v>
      </c>
      <c r="I34" s="58" t="s">
        <v>0</v>
      </c>
      <c r="J34" s="7"/>
      <c r="K34" s="7"/>
      <c r="L34" s="7"/>
      <c r="M34" s="77">
        <f>M35+M41</f>
        <v>71477065.079999998</v>
      </c>
      <c r="N34" s="77">
        <f t="shared" ref="N34:O34" si="13">N35+N41</f>
        <v>69486485.310000002</v>
      </c>
      <c r="O34" s="77">
        <f t="shared" si="13"/>
        <v>71477064.030000001</v>
      </c>
      <c r="P34" s="75">
        <f t="shared" si="2"/>
        <v>99.999998530997331</v>
      </c>
      <c r="Q34" s="20"/>
      <c r="R34" s="20"/>
      <c r="S34" s="20"/>
      <c r="T34" s="20"/>
      <c r="U34" s="20"/>
      <c r="V34" s="20"/>
    </row>
    <row r="35" spans="1:22" s="1" customFormat="1" ht="12.75" hidden="1" customHeight="1" x14ac:dyDescent="0.2">
      <c r="A35" s="43" t="s">
        <v>29</v>
      </c>
      <c r="B35" s="58" t="s">
        <v>25</v>
      </c>
      <c r="C35" s="58">
        <v>0</v>
      </c>
      <c r="D35" s="58">
        <v>18</v>
      </c>
      <c r="E35" s="58" t="s">
        <v>32</v>
      </c>
      <c r="F35" s="58" t="s">
        <v>23</v>
      </c>
      <c r="G35" s="58" t="s">
        <v>15</v>
      </c>
      <c r="H35" s="58" t="s">
        <v>0</v>
      </c>
      <c r="I35" s="58" t="s">
        <v>0</v>
      </c>
      <c r="J35" s="7"/>
      <c r="K35" s="7"/>
      <c r="L35" s="7"/>
      <c r="M35" s="77">
        <f>M36</f>
        <v>33153300.280000001</v>
      </c>
      <c r="N35" s="77">
        <f t="shared" ref="N35:O36" si="14">N36</f>
        <v>31201413.560000002</v>
      </c>
      <c r="O35" s="77">
        <f t="shared" si="14"/>
        <v>33153300.280000001</v>
      </c>
      <c r="P35" s="75">
        <f t="shared" si="2"/>
        <v>100</v>
      </c>
      <c r="Q35" s="20"/>
      <c r="R35" s="20"/>
      <c r="S35" s="20"/>
      <c r="T35" s="20"/>
      <c r="U35" s="20"/>
      <c r="V35" s="20"/>
    </row>
    <row r="36" spans="1:22" s="1" customFormat="1" ht="42" hidden="1" customHeight="1" x14ac:dyDescent="0.2">
      <c r="A36" s="43" t="s">
        <v>33</v>
      </c>
      <c r="B36" s="58" t="s">
        <v>25</v>
      </c>
      <c r="C36" s="58">
        <v>0</v>
      </c>
      <c r="D36" s="58">
        <v>18</v>
      </c>
      <c r="E36" s="58" t="s">
        <v>32</v>
      </c>
      <c r="F36" s="58" t="s">
        <v>23</v>
      </c>
      <c r="G36" s="58" t="s">
        <v>15</v>
      </c>
      <c r="H36" s="58">
        <v>11260</v>
      </c>
      <c r="I36" s="58" t="s">
        <v>0</v>
      </c>
      <c r="J36" s="7"/>
      <c r="K36" s="7"/>
      <c r="L36" s="7"/>
      <c r="M36" s="77">
        <f>M37</f>
        <v>33153300.280000001</v>
      </c>
      <c r="N36" s="77">
        <f t="shared" si="14"/>
        <v>31201413.560000002</v>
      </c>
      <c r="O36" s="77">
        <f t="shared" si="14"/>
        <v>33153300.280000001</v>
      </c>
      <c r="P36" s="75">
        <f t="shared" si="2"/>
        <v>100</v>
      </c>
      <c r="Q36" s="20"/>
      <c r="R36" s="20"/>
      <c r="S36" s="20"/>
      <c r="T36" s="20"/>
      <c r="U36" s="20"/>
      <c r="V36" s="20"/>
    </row>
    <row r="37" spans="1:22" s="1" customFormat="1" ht="52.5" hidden="1" customHeight="1" x14ac:dyDescent="0.2">
      <c r="A37" s="43" t="s">
        <v>34</v>
      </c>
      <c r="B37" s="58" t="s">
        <v>25</v>
      </c>
      <c r="C37" s="58">
        <v>0</v>
      </c>
      <c r="D37" s="58">
        <v>18</v>
      </c>
      <c r="E37" s="58" t="s">
        <v>32</v>
      </c>
      <c r="F37" s="58" t="s">
        <v>23</v>
      </c>
      <c r="G37" s="58" t="s">
        <v>15</v>
      </c>
      <c r="H37" s="58">
        <v>11260</v>
      </c>
      <c r="I37" s="58" t="s">
        <v>35</v>
      </c>
      <c r="J37" s="7"/>
      <c r="K37" s="7"/>
      <c r="L37" s="7"/>
      <c r="M37" s="77">
        <f>M38+M40</f>
        <v>33153300.280000001</v>
      </c>
      <c r="N37" s="77">
        <f t="shared" ref="N37" si="15">N38+N40</f>
        <v>31201413.560000002</v>
      </c>
      <c r="O37" s="77">
        <f>O38+O40</f>
        <v>33153300.280000001</v>
      </c>
      <c r="P37" s="75">
        <f t="shared" si="2"/>
        <v>100</v>
      </c>
      <c r="Q37" s="20"/>
      <c r="R37" s="20"/>
      <c r="S37" s="20"/>
      <c r="T37" s="20"/>
      <c r="U37" s="20"/>
      <c r="V37" s="20"/>
    </row>
    <row r="38" spans="1:22" s="13" customFormat="1" ht="65.25" hidden="1" customHeight="1" x14ac:dyDescent="0.2">
      <c r="A38" s="47" t="s">
        <v>146</v>
      </c>
      <c r="B38" s="62" t="s">
        <v>25</v>
      </c>
      <c r="C38" s="62">
        <v>0</v>
      </c>
      <c r="D38" s="57">
        <v>18</v>
      </c>
      <c r="E38" s="62" t="s">
        <v>32</v>
      </c>
      <c r="F38" s="62" t="s">
        <v>23</v>
      </c>
      <c r="G38" s="62" t="s">
        <v>15</v>
      </c>
      <c r="H38" s="57">
        <v>11260</v>
      </c>
      <c r="I38" s="62" t="s">
        <v>35</v>
      </c>
      <c r="J38" s="15" t="s">
        <v>120</v>
      </c>
      <c r="K38" s="15" t="s">
        <v>121</v>
      </c>
      <c r="L38" s="14">
        <v>2016</v>
      </c>
      <c r="M38" s="80">
        <f>18044700+10107730-900000-599129.72</f>
        <v>26653300.280000001</v>
      </c>
      <c r="N38" s="94">
        <f>O38-O39</f>
        <v>24701413.560000002</v>
      </c>
      <c r="O38" s="89">
        <v>26653300.280000001</v>
      </c>
      <c r="P38" s="74">
        <f t="shared" si="2"/>
        <v>100</v>
      </c>
      <c r="Q38" s="20"/>
      <c r="R38" s="20"/>
      <c r="S38" s="20"/>
      <c r="T38" s="20"/>
      <c r="U38" s="20"/>
      <c r="V38" s="20"/>
    </row>
    <row r="39" spans="1:22" s="13" customFormat="1" ht="41.25" hidden="1" customHeight="1" x14ac:dyDescent="0.2">
      <c r="A39" s="48" t="s">
        <v>225</v>
      </c>
      <c r="B39" s="62"/>
      <c r="C39" s="62"/>
      <c r="D39" s="57"/>
      <c r="E39" s="62"/>
      <c r="F39" s="62"/>
      <c r="G39" s="62"/>
      <c r="H39" s="57"/>
      <c r="I39" s="62"/>
      <c r="J39" s="15"/>
      <c r="K39" s="15"/>
      <c r="L39" s="14"/>
      <c r="M39" s="80">
        <v>1951886.72</v>
      </c>
      <c r="N39" s="94">
        <v>0</v>
      </c>
      <c r="O39" s="89">
        <v>1951886.72</v>
      </c>
      <c r="P39" s="74">
        <f t="shared" si="2"/>
        <v>100</v>
      </c>
      <c r="Q39" s="20"/>
      <c r="R39" s="20"/>
      <c r="S39" s="20"/>
      <c r="T39" s="20"/>
      <c r="U39" s="20"/>
      <c r="V39" s="20"/>
    </row>
    <row r="40" spans="1:22" s="13" customFormat="1" ht="39.75" hidden="1" customHeight="1" x14ac:dyDescent="0.2">
      <c r="A40" s="46" t="s">
        <v>147</v>
      </c>
      <c r="B40" s="61" t="s">
        <v>25</v>
      </c>
      <c r="C40" s="61">
        <v>0</v>
      </c>
      <c r="D40" s="57">
        <v>18</v>
      </c>
      <c r="E40" s="61" t="s">
        <v>32</v>
      </c>
      <c r="F40" s="61" t="s">
        <v>23</v>
      </c>
      <c r="G40" s="61" t="s">
        <v>15</v>
      </c>
      <c r="H40" s="57">
        <v>11260</v>
      </c>
      <c r="I40" s="61" t="s">
        <v>35</v>
      </c>
      <c r="J40" s="18" t="s">
        <v>88</v>
      </c>
      <c r="K40" s="18">
        <v>126</v>
      </c>
      <c r="L40" s="18">
        <v>2018</v>
      </c>
      <c r="M40" s="78">
        <f>4755000+40000+1705000</f>
        <v>6500000</v>
      </c>
      <c r="N40" s="94">
        <v>6500000</v>
      </c>
      <c r="O40" s="89">
        <v>6500000</v>
      </c>
      <c r="P40" s="74">
        <f t="shared" si="2"/>
        <v>100</v>
      </c>
      <c r="Q40" s="20"/>
      <c r="R40" s="20"/>
      <c r="S40" s="20"/>
      <c r="T40" s="20"/>
      <c r="U40" s="20"/>
      <c r="V40" s="20"/>
    </row>
    <row r="41" spans="1:22" s="1" customFormat="1" ht="16.5" hidden="1" customHeight="1" x14ac:dyDescent="0.2">
      <c r="A41" s="43" t="s">
        <v>30</v>
      </c>
      <c r="B41" s="58" t="s">
        <v>25</v>
      </c>
      <c r="C41" s="58">
        <v>0</v>
      </c>
      <c r="D41" s="58">
        <v>18</v>
      </c>
      <c r="E41" s="58" t="s">
        <v>32</v>
      </c>
      <c r="F41" s="58" t="s">
        <v>23</v>
      </c>
      <c r="G41" s="58" t="s">
        <v>16</v>
      </c>
      <c r="H41" s="58" t="s">
        <v>0</v>
      </c>
      <c r="I41" s="58" t="s">
        <v>0</v>
      </c>
      <c r="J41" s="7"/>
      <c r="K41" s="7"/>
      <c r="L41" s="7"/>
      <c r="M41" s="77">
        <f>M42</f>
        <v>38323764.799999997</v>
      </c>
      <c r="N41" s="77">
        <f t="shared" ref="N41:O42" si="16">N42</f>
        <v>38285071.75</v>
      </c>
      <c r="O41" s="77">
        <f t="shared" si="16"/>
        <v>38323763.75</v>
      </c>
      <c r="P41" s="75">
        <f t="shared" si="2"/>
        <v>99.99999726018568</v>
      </c>
      <c r="Q41" s="20"/>
      <c r="R41" s="20"/>
      <c r="S41" s="20"/>
      <c r="T41" s="20"/>
      <c r="U41" s="20"/>
      <c r="V41" s="20"/>
    </row>
    <row r="42" spans="1:22" s="1" customFormat="1" ht="42.75" hidden="1" customHeight="1" x14ac:dyDescent="0.2">
      <c r="A42" s="43" t="s">
        <v>33</v>
      </c>
      <c r="B42" s="58" t="s">
        <v>25</v>
      </c>
      <c r="C42" s="58">
        <v>0</v>
      </c>
      <c r="D42" s="58">
        <v>18</v>
      </c>
      <c r="E42" s="58" t="s">
        <v>32</v>
      </c>
      <c r="F42" s="58" t="s">
        <v>23</v>
      </c>
      <c r="G42" s="58" t="s">
        <v>16</v>
      </c>
      <c r="H42" s="58">
        <v>11260</v>
      </c>
      <c r="I42" s="58" t="s">
        <v>0</v>
      </c>
      <c r="J42" s="7"/>
      <c r="K42" s="7"/>
      <c r="L42" s="7"/>
      <c r="M42" s="77">
        <f>M43</f>
        <v>38323764.799999997</v>
      </c>
      <c r="N42" s="77">
        <f t="shared" si="16"/>
        <v>38285071.75</v>
      </c>
      <c r="O42" s="77">
        <f t="shared" si="16"/>
        <v>38323763.75</v>
      </c>
      <c r="P42" s="75">
        <f t="shared" si="2"/>
        <v>99.99999726018568</v>
      </c>
      <c r="Q42" s="20"/>
      <c r="R42" s="20"/>
      <c r="S42" s="20"/>
      <c r="T42" s="20"/>
      <c r="U42" s="20"/>
      <c r="V42" s="20"/>
    </row>
    <row r="43" spans="1:22" s="1" customFormat="1" ht="49.5" hidden="1" customHeight="1" x14ac:dyDescent="0.2">
      <c r="A43" s="43" t="s">
        <v>34</v>
      </c>
      <c r="B43" s="58" t="s">
        <v>25</v>
      </c>
      <c r="C43" s="58">
        <v>0</v>
      </c>
      <c r="D43" s="58">
        <v>18</v>
      </c>
      <c r="E43" s="58" t="s">
        <v>32</v>
      </c>
      <c r="F43" s="58" t="s">
        <v>23</v>
      </c>
      <c r="G43" s="58" t="s">
        <v>16</v>
      </c>
      <c r="H43" s="58">
        <v>11260</v>
      </c>
      <c r="I43" s="58" t="s">
        <v>35</v>
      </c>
      <c r="J43" s="7"/>
      <c r="K43" s="7"/>
      <c r="L43" s="7"/>
      <c r="M43" s="77">
        <f>M44+M46+M47</f>
        <v>38323764.799999997</v>
      </c>
      <c r="N43" s="77">
        <f t="shared" ref="N43:O43" si="17">N44+N46+N47</f>
        <v>38285071.75</v>
      </c>
      <c r="O43" s="77">
        <f t="shared" si="17"/>
        <v>38323763.75</v>
      </c>
      <c r="P43" s="75">
        <f t="shared" si="2"/>
        <v>99.99999726018568</v>
      </c>
      <c r="Q43" s="20"/>
      <c r="R43" s="20"/>
      <c r="S43" s="20"/>
      <c r="T43" s="20"/>
      <c r="U43" s="20"/>
      <c r="V43" s="20"/>
    </row>
    <row r="44" spans="1:22" s="13" customFormat="1" ht="38.25" hidden="1" customHeight="1" x14ac:dyDescent="0.2">
      <c r="A44" s="47" t="s">
        <v>148</v>
      </c>
      <c r="B44" s="62" t="s">
        <v>25</v>
      </c>
      <c r="C44" s="62">
        <v>0</v>
      </c>
      <c r="D44" s="57">
        <v>18</v>
      </c>
      <c r="E44" s="62" t="s">
        <v>32</v>
      </c>
      <c r="F44" s="62" t="s">
        <v>23</v>
      </c>
      <c r="G44" s="62" t="s">
        <v>16</v>
      </c>
      <c r="H44" s="57">
        <v>11260</v>
      </c>
      <c r="I44" s="62" t="s">
        <v>35</v>
      </c>
      <c r="J44" s="33" t="s">
        <v>212</v>
      </c>
      <c r="K44" s="14">
        <v>50</v>
      </c>
      <c r="L44" s="15">
        <v>2016</v>
      </c>
      <c r="M44" s="78">
        <f>10500000-449593+2900000+10000000+7560000-5075.2</f>
        <v>30505331.800000001</v>
      </c>
      <c r="N44" s="94">
        <f>O44-O45</f>
        <v>30466639.800000001</v>
      </c>
      <c r="O44" s="89">
        <v>30505331.800000001</v>
      </c>
      <c r="P44" s="74">
        <f t="shared" si="2"/>
        <v>100</v>
      </c>
      <c r="Q44" s="20"/>
      <c r="R44" s="20"/>
      <c r="S44" s="20"/>
      <c r="T44" s="20"/>
      <c r="U44" s="20"/>
      <c r="V44" s="20"/>
    </row>
    <row r="45" spans="1:22" s="20" customFormat="1" ht="39" hidden="1" customHeight="1" x14ac:dyDescent="0.2">
      <c r="A45" s="48" t="s">
        <v>191</v>
      </c>
      <c r="B45" s="61"/>
      <c r="C45" s="61"/>
      <c r="D45" s="61"/>
      <c r="E45" s="61"/>
      <c r="F45" s="61"/>
      <c r="G45" s="61"/>
      <c r="H45" s="61"/>
      <c r="I45" s="61"/>
      <c r="J45" s="18"/>
      <c r="K45" s="18"/>
      <c r="L45" s="19"/>
      <c r="M45" s="80">
        <v>38692</v>
      </c>
      <c r="N45" s="94">
        <v>0</v>
      </c>
      <c r="O45" s="89">
        <v>38692</v>
      </c>
      <c r="P45" s="74">
        <f t="shared" si="2"/>
        <v>100</v>
      </c>
    </row>
    <row r="46" spans="1:22" ht="54.75" hidden="1" customHeight="1" x14ac:dyDescent="0.2">
      <c r="A46" s="47" t="s">
        <v>292</v>
      </c>
      <c r="B46" s="62" t="s">
        <v>25</v>
      </c>
      <c r="C46" s="62">
        <v>0</v>
      </c>
      <c r="D46" s="57">
        <v>18</v>
      </c>
      <c r="E46" s="62" t="s">
        <v>32</v>
      </c>
      <c r="F46" s="62" t="s">
        <v>23</v>
      </c>
      <c r="G46" s="62" t="s">
        <v>16</v>
      </c>
      <c r="H46" s="57">
        <v>11260</v>
      </c>
      <c r="I46" s="62" t="s">
        <v>35</v>
      </c>
      <c r="J46" s="17" t="s">
        <v>219</v>
      </c>
      <c r="K46" s="14">
        <v>75</v>
      </c>
      <c r="L46" s="14">
        <v>2016</v>
      </c>
      <c r="M46" s="78">
        <f>3000000+449593</f>
        <v>3449593</v>
      </c>
      <c r="N46" s="94">
        <f>O46</f>
        <v>3449593</v>
      </c>
      <c r="O46" s="89">
        <v>3449593</v>
      </c>
      <c r="P46" s="74">
        <f t="shared" si="2"/>
        <v>100</v>
      </c>
      <c r="Q46" s="20"/>
      <c r="R46" s="20"/>
      <c r="S46" s="20"/>
      <c r="T46" s="20"/>
      <c r="U46" s="20"/>
      <c r="V46" s="20"/>
    </row>
    <row r="47" spans="1:22" s="12" customFormat="1" ht="36" hidden="1" customHeight="1" x14ac:dyDescent="0.2">
      <c r="A47" s="47" t="s">
        <v>393</v>
      </c>
      <c r="B47" s="62" t="s">
        <v>25</v>
      </c>
      <c r="C47" s="62">
        <v>0</v>
      </c>
      <c r="D47" s="57">
        <v>18</v>
      </c>
      <c r="E47" s="62" t="s">
        <v>32</v>
      </c>
      <c r="F47" s="62" t="s">
        <v>23</v>
      </c>
      <c r="G47" s="62" t="s">
        <v>16</v>
      </c>
      <c r="H47" s="57">
        <v>11260</v>
      </c>
      <c r="I47" s="62" t="s">
        <v>35</v>
      </c>
      <c r="J47" s="35" t="s">
        <v>394</v>
      </c>
      <c r="K47" s="18">
        <v>250</v>
      </c>
      <c r="L47" s="18"/>
      <c r="M47" s="78">
        <v>4368840</v>
      </c>
      <c r="N47" s="94">
        <f>O47</f>
        <v>4368838.95</v>
      </c>
      <c r="O47" s="89">
        <v>4368838.95</v>
      </c>
      <c r="P47" s="74">
        <f t="shared" si="2"/>
        <v>99.999975966160363</v>
      </c>
      <c r="Q47" s="20"/>
      <c r="R47" s="20"/>
      <c r="S47" s="20"/>
      <c r="T47" s="20"/>
      <c r="U47" s="20"/>
      <c r="V47" s="20"/>
    </row>
    <row r="48" spans="1:22" ht="33" hidden="1" customHeight="1" x14ac:dyDescent="0.2">
      <c r="A48" s="43" t="s">
        <v>36</v>
      </c>
      <c r="B48" s="58">
        <v>15</v>
      </c>
      <c r="C48" s="58">
        <v>0</v>
      </c>
      <c r="D48" s="58"/>
      <c r="E48" s="57"/>
      <c r="F48" s="57"/>
      <c r="G48" s="57"/>
      <c r="H48" s="57"/>
      <c r="I48" s="57"/>
      <c r="J48" s="5"/>
      <c r="K48" s="5"/>
      <c r="L48" s="5"/>
      <c r="M48" s="79">
        <f>M50+M57</f>
        <v>72603316.150000006</v>
      </c>
      <c r="N48" s="79">
        <f t="shared" ref="N48:O48" si="18">N50+N57</f>
        <v>2658316.15</v>
      </c>
      <c r="O48" s="79">
        <f t="shared" si="18"/>
        <v>9089750.9000000004</v>
      </c>
      <c r="P48" s="75">
        <f t="shared" si="2"/>
        <v>12.519746179665376</v>
      </c>
      <c r="Q48" s="20"/>
      <c r="R48" s="20"/>
      <c r="S48" s="20"/>
      <c r="T48" s="20"/>
      <c r="U48" s="20"/>
      <c r="V48" s="20"/>
    </row>
    <row r="49" spans="1:22" s="12" customFormat="1" ht="25.5" hidden="1" customHeight="1" x14ac:dyDescent="0.2">
      <c r="A49" s="43" t="s">
        <v>178</v>
      </c>
      <c r="B49" s="58">
        <v>15</v>
      </c>
      <c r="C49" s="58">
        <v>0</v>
      </c>
      <c r="D49" s="58">
        <v>12</v>
      </c>
      <c r="E49" s="57"/>
      <c r="F49" s="57"/>
      <c r="G49" s="57"/>
      <c r="H49" s="57"/>
      <c r="I49" s="57"/>
      <c r="J49" s="5"/>
      <c r="K49" s="5"/>
      <c r="L49" s="5"/>
      <c r="M49" s="79">
        <f>M50+M57</f>
        <v>72603316.150000006</v>
      </c>
      <c r="N49" s="79">
        <f t="shared" ref="N49:O49" si="19">N50+N57</f>
        <v>2658316.15</v>
      </c>
      <c r="O49" s="79">
        <f t="shared" si="19"/>
        <v>9089750.9000000004</v>
      </c>
      <c r="P49" s="75">
        <f t="shared" si="2"/>
        <v>12.519746179665376</v>
      </c>
      <c r="Q49" s="20"/>
      <c r="R49" s="20"/>
      <c r="S49" s="20"/>
      <c r="T49" s="20"/>
      <c r="U49" s="20"/>
      <c r="V49" s="20"/>
    </row>
    <row r="50" spans="1:22" ht="29.25" hidden="1" customHeight="1" x14ac:dyDescent="0.2">
      <c r="A50" s="43" t="s">
        <v>31</v>
      </c>
      <c r="B50" s="58">
        <v>15</v>
      </c>
      <c r="C50" s="58">
        <v>0</v>
      </c>
      <c r="D50" s="58">
        <v>12</v>
      </c>
      <c r="E50" s="58">
        <v>819</v>
      </c>
      <c r="F50" s="57"/>
      <c r="G50" s="57"/>
      <c r="H50" s="57"/>
      <c r="I50" s="57"/>
      <c r="J50" s="5"/>
      <c r="K50" s="5"/>
      <c r="L50" s="7"/>
      <c r="M50" s="79">
        <f t="shared" ref="M50:O55" si="20">M51</f>
        <v>2658316.15</v>
      </c>
      <c r="N50" s="79">
        <f t="shared" si="20"/>
        <v>2658316.15</v>
      </c>
      <c r="O50" s="79">
        <f t="shared" si="20"/>
        <v>2658316.15</v>
      </c>
      <c r="P50" s="75">
        <f t="shared" si="2"/>
        <v>100</v>
      </c>
      <c r="Q50" s="20"/>
      <c r="R50" s="20"/>
      <c r="S50" s="20"/>
      <c r="T50" s="20"/>
      <c r="U50" s="20"/>
      <c r="V50" s="20"/>
    </row>
    <row r="51" spans="1:22" ht="27" hidden="1" customHeight="1" x14ac:dyDescent="0.2">
      <c r="A51" s="43" t="s">
        <v>64</v>
      </c>
      <c r="B51" s="58">
        <v>15</v>
      </c>
      <c r="C51" s="58">
        <v>0</v>
      </c>
      <c r="D51" s="58">
        <v>12</v>
      </c>
      <c r="E51" s="58">
        <v>819</v>
      </c>
      <c r="F51" s="57"/>
      <c r="G51" s="57"/>
      <c r="H51" s="57"/>
      <c r="I51" s="57"/>
      <c r="J51" s="5"/>
      <c r="K51" s="5"/>
      <c r="L51" s="7"/>
      <c r="M51" s="79">
        <f t="shared" si="20"/>
        <v>2658316.15</v>
      </c>
      <c r="N51" s="79">
        <f t="shared" si="20"/>
        <v>2658316.15</v>
      </c>
      <c r="O51" s="79">
        <f t="shared" si="20"/>
        <v>2658316.15</v>
      </c>
      <c r="P51" s="75">
        <f t="shared" si="2"/>
        <v>100</v>
      </c>
      <c r="Q51" s="20"/>
      <c r="R51" s="20"/>
      <c r="S51" s="20"/>
      <c r="T51" s="20"/>
      <c r="U51" s="20"/>
      <c r="V51" s="20"/>
    </row>
    <row r="52" spans="1:22" ht="15.75" hidden="1" customHeight="1" x14ac:dyDescent="0.2">
      <c r="A52" s="43" t="s">
        <v>38</v>
      </c>
      <c r="B52" s="58" t="s">
        <v>37</v>
      </c>
      <c r="C52" s="58">
        <v>0</v>
      </c>
      <c r="D52" s="58">
        <v>12</v>
      </c>
      <c r="E52" s="58" t="s">
        <v>32</v>
      </c>
      <c r="F52" s="58" t="s">
        <v>20</v>
      </c>
      <c r="G52" s="58" t="s">
        <v>0</v>
      </c>
      <c r="H52" s="58" t="s">
        <v>0</v>
      </c>
      <c r="I52" s="58" t="s">
        <v>0</v>
      </c>
      <c r="J52" s="7"/>
      <c r="K52" s="7"/>
      <c r="L52" s="7"/>
      <c r="M52" s="79">
        <f t="shared" si="20"/>
        <v>2658316.15</v>
      </c>
      <c r="N52" s="79">
        <f t="shared" si="20"/>
        <v>2658316.15</v>
      </c>
      <c r="O52" s="79">
        <f t="shared" si="20"/>
        <v>2658316.15</v>
      </c>
      <c r="P52" s="75">
        <f t="shared" si="2"/>
        <v>100</v>
      </c>
      <c r="Q52" s="20"/>
      <c r="R52" s="20"/>
      <c r="S52" s="20"/>
      <c r="T52" s="20"/>
      <c r="U52" s="20"/>
      <c r="V52" s="20"/>
    </row>
    <row r="53" spans="1:22" ht="12.75" hidden="1" customHeight="1" x14ac:dyDescent="0.2">
      <c r="A53" s="43" t="s">
        <v>39</v>
      </c>
      <c r="B53" s="58" t="s">
        <v>37</v>
      </c>
      <c r="C53" s="58">
        <v>0</v>
      </c>
      <c r="D53" s="58">
        <v>12</v>
      </c>
      <c r="E53" s="58" t="s">
        <v>32</v>
      </c>
      <c r="F53" s="58" t="s">
        <v>20</v>
      </c>
      <c r="G53" s="58" t="s">
        <v>15</v>
      </c>
      <c r="H53" s="58" t="s">
        <v>0</v>
      </c>
      <c r="I53" s="58" t="s">
        <v>0</v>
      </c>
      <c r="J53" s="7"/>
      <c r="K53" s="7"/>
      <c r="L53" s="7"/>
      <c r="M53" s="79">
        <f t="shared" si="20"/>
        <v>2658316.15</v>
      </c>
      <c r="N53" s="79">
        <f t="shared" si="20"/>
        <v>2658316.15</v>
      </c>
      <c r="O53" s="79">
        <f t="shared" si="20"/>
        <v>2658316.15</v>
      </c>
      <c r="P53" s="75">
        <f t="shared" si="2"/>
        <v>100</v>
      </c>
      <c r="Q53" s="20"/>
      <c r="R53" s="20"/>
      <c r="S53" s="20"/>
      <c r="T53" s="20"/>
      <c r="U53" s="20"/>
      <c r="V53" s="20"/>
    </row>
    <row r="54" spans="1:22" ht="37.5" hidden="1" customHeight="1" x14ac:dyDescent="0.2">
      <c r="A54" s="43" t="s">
        <v>33</v>
      </c>
      <c r="B54" s="58" t="s">
        <v>37</v>
      </c>
      <c r="C54" s="58">
        <v>0</v>
      </c>
      <c r="D54" s="58">
        <v>12</v>
      </c>
      <c r="E54" s="58" t="s">
        <v>32</v>
      </c>
      <c r="F54" s="58" t="s">
        <v>20</v>
      </c>
      <c r="G54" s="58" t="s">
        <v>15</v>
      </c>
      <c r="H54" s="58">
        <v>11260</v>
      </c>
      <c r="I54" s="58" t="s">
        <v>0</v>
      </c>
      <c r="J54" s="5"/>
      <c r="K54" s="5"/>
      <c r="L54" s="5"/>
      <c r="M54" s="79">
        <f t="shared" si="20"/>
        <v>2658316.15</v>
      </c>
      <c r="N54" s="79">
        <f t="shared" si="20"/>
        <v>2658316.15</v>
      </c>
      <c r="O54" s="79">
        <f t="shared" si="20"/>
        <v>2658316.15</v>
      </c>
      <c r="P54" s="75">
        <f t="shared" si="2"/>
        <v>100</v>
      </c>
      <c r="Q54" s="20"/>
      <c r="R54" s="20"/>
      <c r="S54" s="20"/>
      <c r="T54" s="20"/>
      <c r="U54" s="20"/>
      <c r="V54" s="20"/>
    </row>
    <row r="55" spans="1:22" ht="51.75" hidden="1" customHeight="1" x14ac:dyDescent="0.2">
      <c r="A55" s="43" t="s">
        <v>34</v>
      </c>
      <c r="B55" s="58" t="s">
        <v>37</v>
      </c>
      <c r="C55" s="58">
        <v>0</v>
      </c>
      <c r="D55" s="58">
        <v>12</v>
      </c>
      <c r="E55" s="58" t="s">
        <v>32</v>
      </c>
      <c r="F55" s="58" t="s">
        <v>20</v>
      </c>
      <c r="G55" s="58" t="s">
        <v>15</v>
      </c>
      <c r="H55" s="58">
        <v>11260</v>
      </c>
      <c r="I55" s="58" t="s">
        <v>35</v>
      </c>
      <c r="J55" s="5"/>
      <c r="K55" s="5"/>
      <c r="L55" s="5"/>
      <c r="M55" s="79">
        <f t="shared" si="20"/>
        <v>2658316.15</v>
      </c>
      <c r="N55" s="79">
        <f t="shared" si="20"/>
        <v>2658316.15</v>
      </c>
      <c r="O55" s="79">
        <f t="shared" si="20"/>
        <v>2658316.15</v>
      </c>
      <c r="P55" s="75">
        <f t="shared" si="2"/>
        <v>100</v>
      </c>
      <c r="Q55" s="20"/>
      <c r="R55" s="20"/>
      <c r="S55" s="20"/>
      <c r="T55" s="20"/>
      <c r="U55" s="20"/>
      <c r="V55" s="20"/>
    </row>
    <row r="56" spans="1:22" s="11" customFormat="1" ht="39" hidden="1" customHeight="1" x14ac:dyDescent="0.2">
      <c r="A56" s="42" t="s">
        <v>340</v>
      </c>
      <c r="B56" s="61" t="s">
        <v>37</v>
      </c>
      <c r="C56" s="61">
        <v>0</v>
      </c>
      <c r="D56" s="61">
        <v>12</v>
      </c>
      <c r="E56" s="61" t="s">
        <v>32</v>
      </c>
      <c r="F56" s="61" t="s">
        <v>20</v>
      </c>
      <c r="G56" s="61" t="s">
        <v>15</v>
      </c>
      <c r="H56" s="57">
        <v>11260</v>
      </c>
      <c r="I56" s="61" t="s">
        <v>35</v>
      </c>
      <c r="J56" s="19"/>
      <c r="K56" s="19"/>
      <c r="L56" s="19"/>
      <c r="M56" s="81">
        <f>2658317+192318-192318-0.85</f>
        <v>2658316.15</v>
      </c>
      <c r="N56" s="94">
        <f>O56</f>
        <v>2658316.15</v>
      </c>
      <c r="O56" s="89">
        <v>2658316.15</v>
      </c>
      <c r="P56" s="74">
        <f t="shared" si="2"/>
        <v>100</v>
      </c>
      <c r="Q56" s="20"/>
      <c r="R56" s="20"/>
      <c r="S56" s="20"/>
      <c r="T56" s="20"/>
      <c r="U56" s="20"/>
      <c r="V56" s="20"/>
    </row>
    <row r="57" spans="1:22" s="20" customFormat="1" ht="29.25" hidden="1" customHeight="1" x14ac:dyDescent="0.2">
      <c r="A57" s="43" t="s">
        <v>142</v>
      </c>
      <c r="B57" s="60" t="s">
        <v>37</v>
      </c>
      <c r="C57" s="60">
        <v>0</v>
      </c>
      <c r="D57" s="60">
        <v>12</v>
      </c>
      <c r="E57" s="60">
        <v>815</v>
      </c>
      <c r="F57" s="61"/>
      <c r="G57" s="61"/>
      <c r="H57" s="61"/>
      <c r="I57" s="61"/>
      <c r="J57" s="19"/>
      <c r="K57" s="19"/>
      <c r="L57" s="19"/>
      <c r="M57" s="82">
        <f>M59</f>
        <v>69945000</v>
      </c>
      <c r="N57" s="82">
        <f t="shared" ref="N57:O57" si="21">N59</f>
        <v>0</v>
      </c>
      <c r="O57" s="82">
        <f t="shared" si="21"/>
        <v>6431434.75</v>
      </c>
      <c r="P57" s="75">
        <f t="shared" si="2"/>
        <v>9.1949885624419192</v>
      </c>
    </row>
    <row r="58" spans="1:22" s="20" customFormat="1" ht="39.75" hidden="1" customHeight="1" x14ac:dyDescent="0.2">
      <c r="A58" s="43" t="s">
        <v>208</v>
      </c>
      <c r="B58" s="60" t="s">
        <v>37</v>
      </c>
      <c r="C58" s="60">
        <v>0</v>
      </c>
      <c r="D58" s="60">
        <v>12</v>
      </c>
      <c r="E58" s="60">
        <v>815</v>
      </c>
      <c r="F58" s="61"/>
      <c r="G58" s="61"/>
      <c r="H58" s="61"/>
      <c r="I58" s="61"/>
      <c r="J58" s="19"/>
      <c r="K58" s="19"/>
      <c r="L58" s="19"/>
      <c r="M58" s="82">
        <f>M59</f>
        <v>69945000</v>
      </c>
      <c r="N58" s="82">
        <f t="shared" ref="N58:O59" si="22">N59</f>
        <v>0</v>
      </c>
      <c r="O58" s="82">
        <f t="shared" si="22"/>
        <v>6431434.75</v>
      </c>
      <c r="P58" s="75">
        <f t="shared" si="2"/>
        <v>9.1949885624419192</v>
      </c>
    </row>
    <row r="59" spans="1:22" s="20" customFormat="1" ht="18.75" hidden="1" customHeight="1" x14ac:dyDescent="0.2">
      <c r="A59" s="43" t="s">
        <v>38</v>
      </c>
      <c r="B59" s="60" t="s">
        <v>37</v>
      </c>
      <c r="C59" s="60">
        <v>0</v>
      </c>
      <c r="D59" s="60">
        <v>12</v>
      </c>
      <c r="E59" s="60">
        <v>815</v>
      </c>
      <c r="F59" s="60" t="s">
        <v>20</v>
      </c>
      <c r="G59" s="60" t="s">
        <v>0</v>
      </c>
      <c r="H59" s="61"/>
      <c r="I59" s="61"/>
      <c r="J59" s="19"/>
      <c r="K59" s="19"/>
      <c r="L59" s="19"/>
      <c r="M59" s="82">
        <f>M60</f>
        <v>69945000</v>
      </c>
      <c r="N59" s="82">
        <f t="shared" si="22"/>
        <v>0</v>
      </c>
      <c r="O59" s="82">
        <f t="shared" si="22"/>
        <v>6431434.75</v>
      </c>
      <c r="P59" s="75">
        <f t="shared" si="2"/>
        <v>9.1949885624419192</v>
      </c>
    </row>
    <row r="60" spans="1:22" s="20" customFormat="1" ht="18.75" hidden="1" customHeight="1" x14ac:dyDescent="0.2">
      <c r="A60" s="43" t="s">
        <v>39</v>
      </c>
      <c r="B60" s="60" t="s">
        <v>37</v>
      </c>
      <c r="C60" s="60">
        <v>0</v>
      </c>
      <c r="D60" s="60">
        <v>12</v>
      </c>
      <c r="E60" s="60">
        <v>815</v>
      </c>
      <c r="F60" s="60" t="s">
        <v>20</v>
      </c>
      <c r="G60" s="60" t="s">
        <v>15</v>
      </c>
      <c r="H60" s="61"/>
      <c r="I60" s="61"/>
      <c r="J60" s="19"/>
      <c r="K60" s="19"/>
      <c r="L60" s="19"/>
      <c r="M60" s="82">
        <f>M61+M62</f>
        <v>69945000</v>
      </c>
      <c r="N60" s="82">
        <f t="shared" ref="N60:O60" si="23">N61+N62</f>
        <v>0</v>
      </c>
      <c r="O60" s="82">
        <f t="shared" si="23"/>
        <v>6431434.75</v>
      </c>
      <c r="P60" s="75">
        <f t="shared" si="2"/>
        <v>9.1949885624419192</v>
      </c>
    </row>
    <row r="61" spans="1:22" s="20" customFormat="1" ht="39" hidden="1" customHeight="1" x14ac:dyDescent="0.2">
      <c r="A61" s="43" t="s">
        <v>33</v>
      </c>
      <c r="B61" s="60" t="s">
        <v>37</v>
      </c>
      <c r="C61" s="60">
        <v>0</v>
      </c>
      <c r="D61" s="60">
        <v>12</v>
      </c>
      <c r="E61" s="60">
        <v>815</v>
      </c>
      <c r="F61" s="60" t="s">
        <v>20</v>
      </c>
      <c r="G61" s="60" t="s">
        <v>15</v>
      </c>
      <c r="H61" s="60">
        <v>11260</v>
      </c>
      <c r="I61" s="61"/>
      <c r="J61" s="19"/>
      <c r="K61" s="19"/>
      <c r="L61" s="19"/>
      <c r="M61" s="82">
        <f>M63</f>
        <v>1665000</v>
      </c>
      <c r="N61" s="82">
        <f t="shared" ref="N61:O61" si="24">N63</f>
        <v>0</v>
      </c>
      <c r="O61" s="82">
        <f t="shared" si="24"/>
        <v>0</v>
      </c>
      <c r="P61" s="75">
        <f t="shared" si="2"/>
        <v>0</v>
      </c>
    </row>
    <row r="62" spans="1:22" s="20" customFormat="1" ht="64.5" hidden="1" customHeight="1" x14ac:dyDescent="0.2">
      <c r="A62" s="43" t="s">
        <v>243</v>
      </c>
      <c r="B62" s="60" t="s">
        <v>37</v>
      </c>
      <c r="C62" s="60">
        <v>0</v>
      </c>
      <c r="D62" s="60">
        <v>12</v>
      </c>
      <c r="E62" s="60">
        <v>815</v>
      </c>
      <c r="F62" s="60" t="s">
        <v>20</v>
      </c>
      <c r="G62" s="60" t="s">
        <v>15</v>
      </c>
      <c r="H62" s="60" t="s">
        <v>244</v>
      </c>
      <c r="I62" s="61"/>
      <c r="J62" s="19"/>
      <c r="K62" s="19"/>
      <c r="L62" s="19"/>
      <c r="M62" s="82">
        <f>M64</f>
        <v>68280000</v>
      </c>
      <c r="N62" s="82">
        <f t="shared" ref="N62:O62" si="25">N64</f>
        <v>0</v>
      </c>
      <c r="O62" s="82">
        <f t="shared" si="25"/>
        <v>6431434.75</v>
      </c>
      <c r="P62" s="75">
        <f t="shared" si="2"/>
        <v>9.4192073081429406</v>
      </c>
    </row>
    <row r="63" spans="1:22" s="20" customFormat="1" ht="60.75" hidden="1" customHeight="1" x14ac:dyDescent="0.2">
      <c r="A63" s="43" t="s">
        <v>143</v>
      </c>
      <c r="B63" s="60" t="s">
        <v>37</v>
      </c>
      <c r="C63" s="60">
        <v>0</v>
      </c>
      <c r="D63" s="60">
        <v>12</v>
      </c>
      <c r="E63" s="60">
        <v>815</v>
      </c>
      <c r="F63" s="60" t="s">
        <v>20</v>
      </c>
      <c r="G63" s="60" t="s">
        <v>15</v>
      </c>
      <c r="H63" s="60">
        <v>11260</v>
      </c>
      <c r="I63" s="60">
        <v>464</v>
      </c>
      <c r="J63" s="19"/>
      <c r="K63" s="19"/>
      <c r="L63" s="19"/>
      <c r="M63" s="82">
        <f>M66</f>
        <v>1665000</v>
      </c>
      <c r="N63" s="82">
        <f t="shared" ref="N63:O63" si="26">N66</f>
        <v>0</v>
      </c>
      <c r="O63" s="82">
        <f t="shared" si="26"/>
        <v>0</v>
      </c>
      <c r="P63" s="75">
        <f t="shared" si="2"/>
        <v>0</v>
      </c>
    </row>
    <row r="64" spans="1:22" s="20" customFormat="1" ht="74.25" hidden="1" customHeight="1" x14ac:dyDescent="0.2">
      <c r="A64" s="43" t="s">
        <v>143</v>
      </c>
      <c r="B64" s="60" t="s">
        <v>37</v>
      </c>
      <c r="C64" s="60">
        <v>0</v>
      </c>
      <c r="D64" s="60">
        <v>12</v>
      </c>
      <c r="E64" s="60">
        <v>815</v>
      </c>
      <c r="F64" s="60" t="s">
        <v>20</v>
      </c>
      <c r="G64" s="60" t="s">
        <v>15</v>
      </c>
      <c r="H64" s="60" t="s">
        <v>244</v>
      </c>
      <c r="I64" s="60">
        <v>464</v>
      </c>
      <c r="J64" s="19"/>
      <c r="K64" s="19"/>
      <c r="L64" s="19"/>
      <c r="M64" s="82">
        <f>M65</f>
        <v>68280000</v>
      </c>
      <c r="N64" s="82">
        <f t="shared" ref="N64:O64" si="27">N65</f>
        <v>0</v>
      </c>
      <c r="O64" s="82">
        <f t="shared" si="27"/>
        <v>6431434.75</v>
      </c>
      <c r="P64" s="75">
        <f t="shared" si="2"/>
        <v>9.4192073081429406</v>
      </c>
    </row>
    <row r="65" spans="1:22" s="20" customFormat="1" ht="38.25" hidden="1" customHeight="1" x14ac:dyDescent="0.2">
      <c r="A65" s="42" t="s">
        <v>271</v>
      </c>
      <c r="B65" s="61" t="s">
        <v>37</v>
      </c>
      <c r="C65" s="61">
        <v>0</v>
      </c>
      <c r="D65" s="61">
        <v>12</v>
      </c>
      <c r="E65" s="61">
        <v>815</v>
      </c>
      <c r="F65" s="61" t="s">
        <v>20</v>
      </c>
      <c r="G65" s="61" t="s">
        <v>15</v>
      </c>
      <c r="H65" s="61" t="s">
        <v>244</v>
      </c>
      <c r="I65" s="61">
        <v>464</v>
      </c>
      <c r="J65" s="19"/>
      <c r="K65" s="19"/>
      <c r="L65" s="19"/>
      <c r="M65" s="81">
        <v>68280000</v>
      </c>
      <c r="N65" s="83"/>
      <c r="O65" s="83">
        <v>6431434.75</v>
      </c>
      <c r="P65" s="74">
        <f t="shared" si="2"/>
        <v>9.4192073081429406</v>
      </c>
    </row>
    <row r="66" spans="1:22" s="20" customFormat="1" ht="51.75" hidden="1" customHeight="1" x14ac:dyDescent="0.2">
      <c r="A66" s="42" t="s">
        <v>327</v>
      </c>
      <c r="B66" s="61" t="s">
        <v>37</v>
      </c>
      <c r="C66" s="61">
        <v>0</v>
      </c>
      <c r="D66" s="61">
        <v>12</v>
      </c>
      <c r="E66" s="61">
        <v>815</v>
      </c>
      <c r="F66" s="61" t="s">
        <v>20</v>
      </c>
      <c r="G66" s="61" t="s">
        <v>15</v>
      </c>
      <c r="H66" s="61">
        <v>11260</v>
      </c>
      <c r="I66" s="61">
        <v>464</v>
      </c>
      <c r="J66" s="19"/>
      <c r="K66" s="19"/>
      <c r="L66" s="19"/>
      <c r="M66" s="81">
        <v>1665000</v>
      </c>
      <c r="N66" s="83"/>
      <c r="O66" s="83">
        <v>0</v>
      </c>
      <c r="P66" s="74">
        <f t="shared" si="2"/>
        <v>0</v>
      </c>
    </row>
    <row r="67" spans="1:22" ht="24" customHeight="1" x14ac:dyDescent="0.2">
      <c r="A67" s="43" t="s">
        <v>40</v>
      </c>
      <c r="B67" s="58">
        <v>16</v>
      </c>
      <c r="C67" s="58">
        <v>0</v>
      </c>
      <c r="D67" s="58"/>
      <c r="E67" s="58"/>
      <c r="F67" s="58"/>
      <c r="G67" s="58"/>
      <c r="H67" s="58"/>
      <c r="I67" s="58"/>
      <c r="J67" s="7"/>
      <c r="K67" s="7"/>
      <c r="L67" s="7"/>
      <c r="M67" s="79">
        <f>M69</f>
        <v>24197067.809999999</v>
      </c>
      <c r="N67" s="79">
        <f t="shared" ref="N67:O67" si="28">N69</f>
        <v>427324</v>
      </c>
      <c r="O67" s="79">
        <f t="shared" si="28"/>
        <v>24197067.809999999</v>
      </c>
      <c r="P67" s="75">
        <f t="shared" si="2"/>
        <v>100</v>
      </c>
      <c r="Q67" s="20"/>
      <c r="R67" s="20"/>
      <c r="S67" s="20"/>
      <c r="T67" s="20"/>
      <c r="U67" s="20"/>
      <c r="V67" s="20"/>
    </row>
    <row r="68" spans="1:22" s="12" customFormat="1" ht="28.5" customHeight="1" x14ac:dyDescent="0.2">
      <c r="A68" s="43" t="s">
        <v>177</v>
      </c>
      <c r="B68" s="58">
        <v>16</v>
      </c>
      <c r="C68" s="58">
        <v>0</v>
      </c>
      <c r="D68" s="58">
        <v>14</v>
      </c>
      <c r="E68" s="58"/>
      <c r="F68" s="58"/>
      <c r="G68" s="58"/>
      <c r="H68" s="58"/>
      <c r="I68" s="58"/>
      <c r="J68" s="7"/>
      <c r="K68" s="7"/>
      <c r="L68" s="7"/>
      <c r="M68" s="79">
        <f>M69</f>
        <v>24197067.809999999</v>
      </c>
      <c r="N68" s="79">
        <f t="shared" ref="N68:O70" si="29">N69</f>
        <v>427324</v>
      </c>
      <c r="O68" s="79">
        <f t="shared" si="29"/>
        <v>24197067.809999999</v>
      </c>
      <c r="P68" s="75">
        <f t="shared" si="2"/>
        <v>100</v>
      </c>
      <c r="Q68" s="20"/>
      <c r="R68" s="20"/>
      <c r="S68" s="20"/>
      <c r="T68" s="20"/>
      <c r="U68" s="20"/>
      <c r="V68" s="20"/>
    </row>
    <row r="69" spans="1:22" ht="31.5" customHeight="1" x14ac:dyDescent="0.2">
      <c r="A69" s="43" t="s">
        <v>31</v>
      </c>
      <c r="B69" s="58" t="s">
        <v>41</v>
      </c>
      <c r="C69" s="58">
        <v>0</v>
      </c>
      <c r="D69" s="58">
        <v>14</v>
      </c>
      <c r="E69" s="58" t="s">
        <v>32</v>
      </c>
      <c r="F69" s="58" t="s">
        <v>0</v>
      </c>
      <c r="G69" s="58" t="s">
        <v>0</v>
      </c>
      <c r="H69" s="58" t="s">
        <v>0</v>
      </c>
      <c r="I69" s="58" t="s">
        <v>0</v>
      </c>
      <c r="J69" s="7"/>
      <c r="K69" s="7"/>
      <c r="L69" s="7"/>
      <c r="M69" s="79">
        <f>M70</f>
        <v>24197067.809999999</v>
      </c>
      <c r="N69" s="79">
        <f t="shared" si="29"/>
        <v>427324</v>
      </c>
      <c r="O69" s="79">
        <f t="shared" si="29"/>
        <v>24197067.809999999</v>
      </c>
      <c r="P69" s="75">
        <f t="shared" si="2"/>
        <v>100</v>
      </c>
      <c r="Q69" s="20"/>
      <c r="R69" s="20"/>
      <c r="S69" s="20"/>
      <c r="T69" s="20"/>
      <c r="U69" s="20"/>
      <c r="V69" s="20"/>
    </row>
    <row r="70" spans="1:22" ht="38.25" customHeight="1" x14ac:dyDescent="0.2">
      <c r="A70" s="43" t="s">
        <v>64</v>
      </c>
      <c r="B70" s="58">
        <v>16</v>
      </c>
      <c r="C70" s="58">
        <v>0</v>
      </c>
      <c r="D70" s="58">
        <v>14</v>
      </c>
      <c r="E70" s="58">
        <v>819</v>
      </c>
      <c r="F70" s="58"/>
      <c r="G70" s="58"/>
      <c r="H70" s="58"/>
      <c r="I70" s="58"/>
      <c r="J70" s="7"/>
      <c r="K70" s="7"/>
      <c r="L70" s="7"/>
      <c r="M70" s="79">
        <f>M71</f>
        <v>24197067.809999999</v>
      </c>
      <c r="N70" s="79">
        <f t="shared" si="29"/>
        <v>427324</v>
      </c>
      <c r="O70" s="79">
        <f t="shared" si="29"/>
        <v>24197067.809999999</v>
      </c>
      <c r="P70" s="75">
        <f t="shared" si="2"/>
        <v>100</v>
      </c>
      <c r="Q70" s="20"/>
      <c r="R70" s="20"/>
      <c r="S70" s="20"/>
      <c r="T70" s="20"/>
      <c r="U70" s="20"/>
      <c r="V70" s="20"/>
    </row>
    <row r="71" spans="1:22" ht="12.75" customHeight="1" x14ac:dyDescent="0.2">
      <c r="A71" s="43" t="s">
        <v>21</v>
      </c>
      <c r="B71" s="58" t="s">
        <v>41</v>
      </c>
      <c r="C71" s="58">
        <v>0</v>
      </c>
      <c r="D71" s="58">
        <v>14</v>
      </c>
      <c r="E71" s="58" t="s">
        <v>32</v>
      </c>
      <c r="F71" s="58" t="s">
        <v>22</v>
      </c>
      <c r="G71" s="58" t="s">
        <v>0</v>
      </c>
      <c r="H71" s="58" t="s">
        <v>0</v>
      </c>
      <c r="I71" s="58" t="s">
        <v>0</v>
      </c>
      <c r="J71" s="7"/>
      <c r="K71" s="7"/>
      <c r="L71" s="7"/>
      <c r="M71" s="79">
        <f>M72+M79</f>
        <v>24197067.809999999</v>
      </c>
      <c r="N71" s="79">
        <f t="shared" ref="N71:O71" si="30">N72+N79</f>
        <v>427324</v>
      </c>
      <c r="O71" s="79">
        <f t="shared" si="30"/>
        <v>24197067.809999999</v>
      </c>
      <c r="P71" s="75">
        <f t="shared" si="2"/>
        <v>100</v>
      </c>
      <c r="Q71" s="20"/>
      <c r="R71" s="20"/>
      <c r="S71" s="20"/>
      <c r="T71" s="20"/>
      <c r="U71" s="20"/>
      <c r="V71" s="20"/>
    </row>
    <row r="72" spans="1:22" s="1" customFormat="1" ht="12.75" customHeight="1" x14ac:dyDescent="0.2">
      <c r="A72" s="43" t="s">
        <v>42</v>
      </c>
      <c r="B72" s="58" t="s">
        <v>41</v>
      </c>
      <c r="C72" s="58">
        <v>0</v>
      </c>
      <c r="D72" s="58">
        <v>14</v>
      </c>
      <c r="E72" s="58" t="s">
        <v>32</v>
      </c>
      <c r="F72" s="58" t="s">
        <v>22</v>
      </c>
      <c r="G72" s="58" t="s">
        <v>15</v>
      </c>
      <c r="H72" s="58" t="s">
        <v>0</v>
      </c>
      <c r="I72" s="58" t="s">
        <v>0</v>
      </c>
      <c r="J72" s="7"/>
      <c r="K72" s="7"/>
      <c r="L72" s="7"/>
      <c r="M72" s="79">
        <f>M73</f>
        <v>23769743.809999999</v>
      </c>
      <c r="N72" s="79">
        <f t="shared" ref="N72:O73" si="31">N73</f>
        <v>0</v>
      </c>
      <c r="O72" s="79">
        <f t="shared" si="31"/>
        <v>23769743.809999999</v>
      </c>
      <c r="P72" s="75">
        <f t="shared" si="2"/>
        <v>100</v>
      </c>
      <c r="Q72" s="20"/>
      <c r="R72" s="20"/>
      <c r="S72" s="20"/>
      <c r="T72" s="20"/>
      <c r="U72" s="20"/>
      <c r="V72" s="20"/>
    </row>
    <row r="73" spans="1:22" ht="36.75" customHeight="1" x14ac:dyDescent="0.2">
      <c r="A73" s="43" t="s">
        <v>33</v>
      </c>
      <c r="B73" s="58" t="s">
        <v>41</v>
      </c>
      <c r="C73" s="58">
        <v>0</v>
      </c>
      <c r="D73" s="58">
        <v>14</v>
      </c>
      <c r="E73" s="58" t="s">
        <v>32</v>
      </c>
      <c r="F73" s="58" t="s">
        <v>22</v>
      </c>
      <c r="G73" s="58" t="s">
        <v>15</v>
      </c>
      <c r="H73" s="58">
        <v>11260</v>
      </c>
      <c r="I73" s="58" t="s">
        <v>0</v>
      </c>
      <c r="J73" s="7"/>
      <c r="K73" s="7"/>
      <c r="L73" s="7"/>
      <c r="M73" s="79">
        <f>M74</f>
        <v>23769743.809999999</v>
      </c>
      <c r="N73" s="79">
        <f t="shared" si="31"/>
        <v>0</v>
      </c>
      <c r="O73" s="79">
        <f t="shared" si="31"/>
        <v>23769743.809999999</v>
      </c>
      <c r="P73" s="75">
        <f t="shared" si="2"/>
        <v>100</v>
      </c>
      <c r="Q73" s="20"/>
      <c r="R73" s="20"/>
      <c r="S73" s="20"/>
      <c r="T73" s="20"/>
      <c r="U73" s="20"/>
      <c r="V73" s="20"/>
    </row>
    <row r="74" spans="1:22" ht="49.5" customHeight="1" x14ac:dyDescent="0.2">
      <c r="A74" s="43" t="s">
        <v>34</v>
      </c>
      <c r="B74" s="58" t="s">
        <v>41</v>
      </c>
      <c r="C74" s="58">
        <v>0</v>
      </c>
      <c r="D74" s="58">
        <v>14</v>
      </c>
      <c r="E74" s="58" t="s">
        <v>32</v>
      </c>
      <c r="F74" s="58" t="s">
        <v>22</v>
      </c>
      <c r="G74" s="58" t="s">
        <v>15</v>
      </c>
      <c r="H74" s="58">
        <v>11260</v>
      </c>
      <c r="I74" s="58" t="s">
        <v>35</v>
      </c>
      <c r="J74" s="7"/>
      <c r="K74" s="7"/>
      <c r="L74" s="7"/>
      <c r="M74" s="79">
        <f>M75+M77</f>
        <v>23769743.809999999</v>
      </c>
      <c r="N74" s="79">
        <f t="shared" ref="N74:O74" si="32">N75+N77</f>
        <v>0</v>
      </c>
      <c r="O74" s="79">
        <f t="shared" si="32"/>
        <v>23769743.809999999</v>
      </c>
      <c r="P74" s="75">
        <f t="shared" ref="P74:P137" si="33">O74/M74*100</f>
        <v>100</v>
      </c>
      <c r="Q74" s="20"/>
      <c r="R74" s="20"/>
      <c r="S74" s="20"/>
      <c r="T74" s="20"/>
      <c r="U74" s="20"/>
      <c r="V74" s="20"/>
    </row>
    <row r="75" spans="1:22" ht="26.25" customHeight="1" x14ac:dyDescent="0.2">
      <c r="A75" s="42" t="s">
        <v>407</v>
      </c>
      <c r="B75" s="57" t="s">
        <v>41</v>
      </c>
      <c r="C75" s="57">
        <v>0</v>
      </c>
      <c r="D75" s="57">
        <v>14</v>
      </c>
      <c r="E75" s="57" t="s">
        <v>32</v>
      </c>
      <c r="F75" s="57" t="s">
        <v>22</v>
      </c>
      <c r="G75" s="57" t="s">
        <v>15</v>
      </c>
      <c r="H75" s="57">
        <v>11260</v>
      </c>
      <c r="I75" s="57">
        <v>414</v>
      </c>
      <c r="J75" s="5" t="s">
        <v>63</v>
      </c>
      <c r="K75" s="5">
        <v>115</v>
      </c>
      <c r="L75" s="5"/>
      <c r="M75" s="83">
        <f>17635430+5884313.81</f>
        <v>23519743.809999999</v>
      </c>
      <c r="N75" s="94">
        <v>0</v>
      </c>
      <c r="O75" s="89">
        <v>23519743.809999999</v>
      </c>
      <c r="P75" s="74">
        <f t="shared" si="33"/>
        <v>100</v>
      </c>
      <c r="Q75" s="20"/>
      <c r="R75" s="20"/>
      <c r="S75" s="20"/>
      <c r="T75" s="20"/>
      <c r="U75" s="20"/>
      <c r="V75" s="20"/>
    </row>
    <row r="76" spans="1:22" s="20" customFormat="1" ht="36" hidden="1" customHeight="1" x14ac:dyDescent="0.2">
      <c r="A76" s="45" t="s">
        <v>191</v>
      </c>
      <c r="B76" s="61"/>
      <c r="C76" s="61"/>
      <c r="D76" s="61"/>
      <c r="E76" s="61"/>
      <c r="F76" s="61"/>
      <c r="G76" s="61"/>
      <c r="H76" s="61"/>
      <c r="I76" s="61"/>
      <c r="J76" s="19"/>
      <c r="K76" s="19"/>
      <c r="L76" s="19"/>
      <c r="M76" s="83">
        <f>M75</f>
        <v>23519743.809999999</v>
      </c>
      <c r="N76" s="94">
        <v>0</v>
      </c>
      <c r="O76" s="89">
        <v>23519743.809999999</v>
      </c>
      <c r="P76" s="74">
        <f t="shared" si="33"/>
        <v>100</v>
      </c>
    </row>
    <row r="77" spans="1:22" s="12" customFormat="1" ht="44.25" customHeight="1" x14ac:dyDescent="0.2">
      <c r="A77" s="42" t="s">
        <v>149</v>
      </c>
      <c r="B77" s="57">
        <v>16</v>
      </c>
      <c r="C77" s="57">
        <v>0</v>
      </c>
      <c r="D77" s="57">
        <v>14</v>
      </c>
      <c r="E77" s="57">
        <v>819</v>
      </c>
      <c r="F77" s="63" t="s">
        <v>22</v>
      </c>
      <c r="G77" s="63" t="s">
        <v>15</v>
      </c>
      <c r="H77" s="57">
        <v>11260</v>
      </c>
      <c r="I77" s="57">
        <v>414</v>
      </c>
      <c r="J77" s="5" t="s">
        <v>63</v>
      </c>
      <c r="K77" s="5">
        <v>270</v>
      </c>
      <c r="L77" s="5"/>
      <c r="M77" s="83">
        <v>250000</v>
      </c>
      <c r="N77" s="94">
        <v>0</v>
      </c>
      <c r="O77" s="89">
        <v>250000</v>
      </c>
      <c r="P77" s="74">
        <f t="shared" si="33"/>
        <v>100</v>
      </c>
      <c r="Q77" s="20"/>
      <c r="R77" s="20"/>
      <c r="S77" s="20"/>
      <c r="T77" s="20"/>
      <c r="U77" s="20"/>
      <c r="V77" s="20"/>
    </row>
    <row r="78" spans="1:22" s="20" customFormat="1" ht="36" hidden="1" customHeight="1" x14ac:dyDescent="0.2">
      <c r="A78" s="45" t="s">
        <v>191</v>
      </c>
      <c r="B78" s="61"/>
      <c r="C78" s="61"/>
      <c r="D78" s="61"/>
      <c r="E78" s="61"/>
      <c r="F78" s="61"/>
      <c r="G78" s="61"/>
      <c r="H78" s="61"/>
      <c r="I78" s="61"/>
      <c r="J78" s="19"/>
      <c r="K78" s="19"/>
      <c r="L78" s="19"/>
      <c r="M78" s="81">
        <v>250000</v>
      </c>
      <c r="N78" s="94">
        <v>0</v>
      </c>
      <c r="O78" s="89">
        <v>250000</v>
      </c>
      <c r="P78" s="74">
        <f t="shared" si="33"/>
        <v>100</v>
      </c>
    </row>
    <row r="79" spans="1:22" s="1" customFormat="1" ht="15.75" customHeight="1" x14ac:dyDescent="0.2">
      <c r="A79" s="43" t="s">
        <v>43</v>
      </c>
      <c r="B79" s="58" t="s">
        <v>41</v>
      </c>
      <c r="C79" s="58">
        <v>0</v>
      </c>
      <c r="D79" s="58">
        <v>14</v>
      </c>
      <c r="E79" s="58" t="s">
        <v>32</v>
      </c>
      <c r="F79" s="58" t="s">
        <v>22</v>
      </c>
      <c r="G79" s="58" t="s">
        <v>16</v>
      </c>
      <c r="H79" s="58" t="s">
        <v>0</v>
      </c>
      <c r="I79" s="58" t="s">
        <v>0</v>
      </c>
      <c r="J79" s="7"/>
      <c r="K79" s="7"/>
      <c r="L79" s="7"/>
      <c r="M79" s="79">
        <f>M80</f>
        <v>427324</v>
      </c>
      <c r="N79" s="79">
        <f t="shared" ref="N79:O81" si="34">N80</f>
        <v>427324</v>
      </c>
      <c r="O79" s="79">
        <f t="shared" si="34"/>
        <v>427324</v>
      </c>
      <c r="P79" s="75">
        <f t="shared" si="33"/>
        <v>100</v>
      </c>
      <c r="Q79" s="20"/>
      <c r="R79" s="20"/>
      <c r="S79" s="20"/>
      <c r="T79" s="20"/>
      <c r="U79" s="20"/>
      <c r="V79" s="20"/>
    </row>
    <row r="80" spans="1:22" ht="39" customHeight="1" x14ac:dyDescent="0.2">
      <c r="A80" s="43" t="s">
        <v>33</v>
      </c>
      <c r="B80" s="58" t="s">
        <v>41</v>
      </c>
      <c r="C80" s="58">
        <v>0</v>
      </c>
      <c r="D80" s="58">
        <v>14</v>
      </c>
      <c r="E80" s="58" t="s">
        <v>32</v>
      </c>
      <c r="F80" s="58" t="s">
        <v>22</v>
      </c>
      <c r="G80" s="58" t="s">
        <v>16</v>
      </c>
      <c r="H80" s="58">
        <v>11260</v>
      </c>
      <c r="I80" s="58" t="s">
        <v>0</v>
      </c>
      <c r="J80" s="7"/>
      <c r="K80" s="7"/>
      <c r="L80" s="7"/>
      <c r="M80" s="79">
        <f>M81</f>
        <v>427324</v>
      </c>
      <c r="N80" s="79">
        <f t="shared" si="34"/>
        <v>427324</v>
      </c>
      <c r="O80" s="79">
        <f t="shared" si="34"/>
        <v>427324</v>
      </c>
      <c r="P80" s="75">
        <f t="shared" si="33"/>
        <v>100</v>
      </c>
      <c r="Q80" s="20"/>
      <c r="R80" s="20"/>
      <c r="S80" s="20"/>
      <c r="T80" s="20"/>
      <c r="U80" s="20"/>
      <c r="V80" s="20"/>
    </row>
    <row r="81" spans="1:22" ht="48.75" customHeight="1" x14ac:dyDescent="0.2">
      <c r="A81" s="43" t="s">
        <v>34</v>
      </c>
      <c r="B81" s="58" t="s">
        <v>41</v>
      </c>
      <c r="C81" s="58">
        <v>0</v>
      </c>
      <c r="D81" s="58">
        <v>14</v>
      </c>
      <c r="E81" s="58" t="s">
        <v>32</v>
      </c>
      <c r="F81" s="58" t="s">
        <v>22</v>
      </c>
      <c r="G81" s="58" t="s">
        <v>16</v>
      </c>
      <c r="H81" s="58">
        <v>11260</v>
      </c>
      <c r="I81" s="58" t="s">
        <v>35</v>
      </c>
      <c r="J81" s="7"/>
      <c r="K81" s="7"/>
      <c r="L81" s="7"/>
      <c r="M81" s="79">
        <f>M82</f>
        <v>427324</v>
      </c>
      <c r="N81" s="79">
        <f t="shared" si="34"/>
        <v>427324</v>
      </c>
      <c r="O81" s="79">
        <f t="shared" si="34"/>
        <v>427324</v>
      </c>
      <c r="P81" s="75">
        <f t="shared" si="33"/>
        <v>100</v>
      </c>
      <c r="Q81" s="20"/>
      <c r="R81" s="20"/>
      <c r="S81" s="20"/>
      <c r="T81" s="20"/>
      <c r="U81" s="20"/>
      <c r="V81" s="20"/>
    </row>
    <row r="82" spans="1:22" s="16" customFormat="1" ht="49.5" customHeight="1" x14ac:dyDescent="0.2">
      <c r="A82" s="47" t="s">
        <v>109</v>
      </c>
      <c r="B82" s="61" t="s">
        <v>41</v>
      </c>
      <c r="C82" s="61">
        <v>0</v>
      </c>
      <c r="D82" s="61">
        <v>14</v>
      </c>
      <c r="E82" s="61" t="s">
        <v>32</v>
      </c>
      <c r="F82" s="61" t="s">
        <v>22</v>
      </c>
      <c r="G82" s="61" t="s">
        <v>16</v>
      </c>
      <c r="H82" s="57">
        <v>11260</v>
      </c>
      <c r="I82" s="61" t="s">
        <v>35</v>
      </c>
      <c r="J82" s="19" t="s">
        <v>118</v>
      </c>
      <c r="K82" s="36">
        <v>6415.7</v>
      </c>
      <c r="L82" s="37"/>
      <c r="M82" s="80">
        <f>320500+106820+4</f>
        <v>427324</v>
      </c>
      <c r="N82" s="80">
        <f>O82</f>
        <v>427324</v>
      </c>
      <c r="O82" s="89">
        <v>427324</v>
      </c>
      <c r="P82" s="74">
        <f t="shared" si="33"/>
        <v>100</v>
      </c>
      <c r="Q82" s="25"/>
      <c r="R82" s="25"/>
      <c r="S82" s="25"/>
      <c r="T82" s="25"/>
      <c r="U82" s="25"/>
      <c r="V82" s="25"/>
    </row>
    <row r="83" spans="1:22" ht="61.5" hidden="1" customHeight="1" x14ac:dyDescent="0.2">
      <c r="A83" s="43" t="s">
        <v>44</v>
      </c>
      <c r="B83" s="58" t="s">
        <v>45</v>
      </c>
      <c r="C83" s="57" t="s">
        <v>0</v>
      </c>
      <c r="D83" s="57"/>
      <c r="E83" s="57" t="s">
        <v>0</v>
      </c>
      <c r="F83" s="57" t="s">
        <v>0</v>
      </c>
      <c r="G83" s="57" t="s">
        <v>0</v>
      </c>
      <c r="H83" s="57" t="s">
        <v>0</v>
      </c>
      <c r="I83" s="57" t="s">
        <v>0</v>
      </c>
      <c r="J83" s="5"/>
      <c r="K83" s="5"/>
      <c r="L83" s="5"/>
      <c r="M83" s="79">
        <f>M92+M84</f>
        <v>12548322</v>
      </c>
      <c r="N83" s="79">
        <f t="shared" ref="N83:O83" si="35">N92+N84</f>
        <v>12548321.16</v>
      </c>
      <c r="O83" s="79">
        <f t="shared" si="35"/>
        <v>12548321.16</v>
      </c>
      <c r="P83" s="75">
        <f t="shared" si="33"/>
        <v>99.999993305877865</v>
      </c>
      <c r="Q83" s="20"/>
      <c r="R83" s="20"/>
      <c r="S83" s="20"/>
      <c r="T83" s="20"/>
      <c r="U83" s="20"/>
      <c r="V83" s="20"/>
    </row>
    <row r="84" spans="1:22" s="12" customFormat="1" ht="51" hidden="1" customHeight="1" x14ac:dyDescent="0.2">
      <c r="A84" s="43" t="s">
        <v>238</v>
      </c>
      <c r="B84" s="58">
        <v>17</v>
      </c>
      <c r="C84" s="58">
        <v>6</v>
      </c>
      <c r="D84" s="57"/>
      <c r="E84" s="57"/>
      <c r="F84" s="57"/>
      <c r="G84" s="57"/>
      <c r="H84" s="57"/>
      <c r="I84" s="57"/>
      <c r="J84" s="5"/>
      <c r="K84" s="5"/>
      <c r="L84" s="5"/>
      <c r="M84" s="79">
        <f t="shared" ref="M84:M90" si="36">M85</f>
        <v>8000000</v>
      </c>
      <c r="N84" s="79">
        <f t="shared" ref="N84:O90" si="37">N85</f>
        <v>8000000</v>
      </c>
      <c r="O84" s="79">
        <f t="shared" si="37"/>
        <v>8000000</v>
      </c>
      <c r="P84" s="75">
        <f t="shared" si="33"/>
        <v>100</v>
      </c>
      <c r="Q84" s="20"/>
      <c r="R84" s="20"/>
      <c r="S84" s="20"/>
      <c r="T84" s="20"/>
      <c r="U84" s="20"/>
      <c r="V84" s="20"/>
    </row>
    <row r="85" spans="1:22" s="12" customFormat="1" ht="79.5" hidden="1" customHeight="1" x14ac:dyDescent="0.2">
      <c r="A85" s="43" t="s">
        <v>239</v>
      </c>
      <c r="B85" s="58">
        <v>17</v>
      </c>
      <c r="C85" s="58">
        <v>6</v>
      </c>
      <c r="D85" s="58">
        <v>61</v>
      </c>
      <c r="E85" s="57"/>
      <c r="F85" s="57"/>
      <c r="G85" s="57"/>
      <c r="H85" s="57"/>
      <c r="I85" s="57"/>
      <c r="J85" s="5"/>
      <c r="K85" s="5"/>
      <c r="L85" s="5"/>
      <c r="M85" s="79">
        <f t="shared" si="36"/>
        <v>8000000</v>
      </c>
      <c r="N85" s="79">
        <f t="shared" si="37"/>
        <v>8000000</v>
      </c>
      <c r="O85" s="79">
        <f t="shared" si="37"/>
        <v>8000000</v>
      </c>
      <c r="P85" s="75">
        <f t="shared" si="33"/>
        <v>100</v>
      </c>
      <c r="Q85" s="20"/>
      <c r="R85" s="20"/>
      <c r="S85" s="20"/>
      <c r="T85" s="20"/>
      <c r="U85" s="20"/>
      <c r="V85" s="20"/>
    </row>
    <row r="86" spans="1:22" s="20" customFormat="1" ht="24" hidden="1" customHeight="1" x14ac:dyDescent="0.2">
      <c r="A86" s="43" t="s">
        <v>126</v>
      </c>
      <c r="B86" s="60" t="s">
        <v>45</v>
      </c>
      <c r="C86" s="60">
        <v>6</v>
      </c>
      <c r="D86" s="60">
        <v>61</v>
      </c>
      <c r="E86" s="60">
        <v>817</v>
      </c>
      <c r="F86" s="61"/>
      <c r="G86" s="61"/>
      <c r="H86" s="61"/>
      <c r="I86" s="61"/>
      <c r="J86" s="19"/>
      <c r="K86" s="19"/>
      <c r="L86" s="19"/>
      <c r="M86" s="82">
        <f t="shared" si="36"/>
        <v>8000000</v>
      </c>
      <c r="N86" s="82">
        <f t="shared" si="37"/>
        <v>8000000</v>
      </c>
      <c r="O86" s="82">
        <f t="shared" si="37"/>
        <v>8000000</v>
      </c>
      <c r="P86" s="75">
        <f t="shared" si="33"/>
        <v>100</v>
      </c>
    </row>
    <row r="87" spans="1:22" s="20" customFormat="1" ht="12.75" hidden="1" customHeight="1" x14ac:dyDescent="0.2">
      <c r="A87" s="84" t="s">
        <v>19</v>
      </c>
      <c r="B87" s="60" t="s">
        <v>45</v>
      </c>
      <c r="C87" s="60">
        <v>6</v>
      </c>
      <c r="D87" s="60">
        <v>61</v>
      </c>
      <c r="E87" s="60">
        <v>817</v>
      </c>
      <c r="F87" s="64" t="s">
        <v>17</v>
      </c>
      <c r="G87" s="64"/>
      <c r="H87" s="61"/>
      <c r="I87" s="61"/>
      <c r="J87" s="19"/>
      <c r="K87" s="19"/>
      <c r="L87" s="19"/>
      <c r="M87" s="82">
        <f t="shared" si="36"/>
        <v>8000000</v>
      </c>
      <c r="N87" s="82">
        <f t="shared" si="37"/>
        <v>8000000</v>
      </c>
      <c r="O87" s="82">
        <f t="shared" si="37"/>
        <v>8000000</v>
      </c>
      <c r="P87" s="75">
        <f t="shared" si="33"/>
        <v>100</v>
      </c>
    </row>
    <row r="88" spans="1:22" s="20" customFormat="1" ht="12.75" hidden="1" customHeight="1" x14ac:dyDescent="0.2">
      <c r="A88" s="84" t="s">
        <v>128</v>
      </c>
      <c r="B88" s="60" t="s">
        <v>45</v>
      </c>
      <c r="C88" s="60">
        <v>6</v>
      </c>
      <c r="D88" s="60">
        <v>61</v>
      </c>
      <c r="E88" s="60">
        <v>817</v>
      </c>
      <c r="F88" s="64" t="s">
        <v>17</v>
      </c>
      <c r="G88" s="64" t="s">
        <v>18</v>
      </c>
      <c r="H88" s="61"/>
      <c r="I88" s="61"/>
      <c r="J88" s="19"/>
      <c r="K88" s="19"/>
      <c r="L88" s="19"/>
      <c r="M88" s="82">
        <f t="shared" si="36"/>
        <v>8000000</v>
      </c>
      <c r="N88" s="82">
        <f t="shared" si="37"/>
        <v>8000000</v>
      </c>
      <c r="O88" s="82">
        <f t="shared" si="37"/>
        <v>8000000</v>
      </c>
      <c r="P88" s="75">
        <f t="shared" si="33"/>
        <v>100</v>
      </c>
    </row>
    <row r="89" spans="1:22" s="20" customFormat="1" ht="28.5" hidden="1" customHeight="1" x14ac:dyDescent="0.2">
      <c r="A89" s="84" t="s">
        <v>240</v>
      </c>
      <c r="B89" s="60" t="s">
        <v>45</v>
      </c>
      <c r="C89" s="60">
        <v>6</v>
      </c>
      <c r="D89" s="60">
        <v>61</v>
      </c>
      <c r="E89" s="60">
        <v>817</v>
      </c>
      <c r="F89" s="64" t="s">
        <v>17</v>
      </c>
      <c r="G89" s="64" t="s">
        <v>18</v>
      </c>
      <c r="H89" s="60">
        <v>11340</v>
      </c>
      <c r="I89" s="61"/>
      <c r="J89" s="19"/>
      <c r="K89" s="19"/>
      <c r="L89" s="19"/>
      <c r="M89" s="82">
        <f t="shared" si="36"/>
        <v>8000000</v>
      </c>
      <c r="N89" s="82">
        <f t="shared" si="37"/>
        <v>8000000</v>
      </c>
      <c r="O89" s="82">
        <f t="shared" si="37"/>
        <v>8000000</v>
      </c>
      <c r="P89" s="75">
        <f t="shared" si="33"/>
        <v>100</v>
      </c>
    </row>
    <row r="90" spans="1:22" s="20" customFormat="1" ht="99.75" hidden="1" customHeight="1" x14ac:dyDescent="0.2">
      <c r="A90" s="43" t="s">
        <v>241</v>
      </c>
      <c r="B90" s="60" t="s">
        <v>45</v>
      </c>
      <c r="C90" s="60">
        <v>6</v>
      </c>
      <c r="D90" s="60">
        <v>61</v>
      </c>
      <c r="E90" s="60">
        <v>817</v>
      </c>
      <c r="F90" s="64" t="s">
        <v>17</v>
      </c>
      <c r="G90" s="64" t="s">
        <v>18</v>
      </c>
      <c r="H90" s="60">
        <v>11340</v>
      </c>
      <c r="I90" s="60">
        <v>466</v>
      </c>
      <c r="J90" s="19"/>
      <c r="K90" s="19"/>
      <c r="L90" s="19"/>
      <c r="M90" s="82">
        <f t="shared" si="36"/>
        <v>8000000</v>
      </c>
      <c r="N90" s="82">
        <f t="shared" si="37"/>
        <v>8000000</v>
      </c>
      <c r="O90" s="82">
        <f t="shared" si="37"/>
        <v>8000000</v>
      </c>
      <c r="P90" s="75">
        <f t="shared" si="33"/>
        <v>100</v>
      </c>
    </row>
    <row r="91" spans="1:22" s="20" customFormat="1" ht="48.75" hidden="1" customHeight="1" x14ac:dyDescent="0.2">
      <c r="A91" s="42" t="s">
        <v>361</v>
      </c>
      <c r="B91" s="61" t="s">
        <v>45</v>
      </c>
      <c r="C91" s="61">
        <v>6</v>
      </c>
      <c r="D91" s="61">
        <v>61</v>
      </c>
      <c r="E91" s="61">
        <v>817</v>
      </c>
      <c r="F91" s="65" t="s">
        <v>17</v>
      </c>
      <c r="G91" s="65" t="s">
        <v>18</v>
      </c>
      <c r="H91" s="61">
        <v>11340</v>
      </c>
      <c r="I91" s="61">
        <v>466</v>
      </c>
      <c r="J91" s="18" t="s">
        <v>362</v>
      </c>
      <c r="K91" s="19">
        <v>324</v>
      </c>
      <c r="L91" s="19" t="s">
        <v>402</v>
      </c>
      <c r="M91" s="81">
        <v>8000000</v>
      </c>
      <c r="N91" s="94">
        <v>8000000</v>
      </c>
      <c r="O91" s="94">
        <v>8000000</v>
      </c>
      <c r="P91" s="74">
        <f t="shared" si="33"/>
        <v>100</v>
      </c>
    </row>
    <row r="92" spans="1:22" ht="36" hidden="1" customHeight="1" x14ac:dyDescent="0.2">
      <c r="A92" s="43" t="s">
        <v>46</v>
      </c>
      <c r="B92" s="58" t="s">
        <v>45</v>
      </c>
      <c r="C92" s="58" t="s">
        <v>13</v>
      </c>
      <c r="D92" s="58"/>
      <c r="E92" s="57" t="s">
        <v>0</v>
      </c>
      <c r="F92" s="57" t="s">
        <v>0</v>
      </c>
      <c r="G92" s="57" t="s">
        <v>0</v>
      </c>
      <c r="H92" s="57" t="s">
        <v>0</v>
      </c>
      <c r="I92" s="57" t="s">
        <v>0</v>
      </c>
      <c r="J92" s="5"/>
      <c r="K92" s="5"/>
      <c r="L92" s="5"/>
      <c r="M92" s="79">
        <f>M94</f>
        <v>4548322</v>
      </c>
      <c r="N92" s="79">
        <f t="shared" ref="N92:O92" si="38">N94</f>
        <v>4548321.16</v>
      </c>
      <c r="O92" s="79">
        <f t="shared" si="38"/>
        <v>4548321.16</v>
      </c>
      <c r="P92" s="75">
        <f t="shared" si="33"/>
        <v>99.999981531650576</v>
      </c>
      <c r="Q92" s="20"/>
      <c r="R92" s="20"/>
      <c r="S92" s="20"/>
      <c r="T92" s="20"/>
      <c r="U92" s="20"/>
      <c r="V92" s="20"/>
    </row>
    <row r="93" spans="1:22" s="12" customFormat="1" ht="170.25" hidden="1" customHeight="1" x14ac:dyDescent="0.2">
      <c r="A93" s="43" t="s">
        <v>176</v>
      </c>
      <c r="B93" s="58" t="s">
        <v>45</v>
      </c>
      <c r="C93" s="58" t="s">
        <v>13</v>
      </c>
      <c r="D93" s="58">
        <v>81</v>
      </c>
      <c r="E93" s="57"/>
      <c r="F93" s="57"/>
      <c r="G93" s="57"/>
      <c r="H93" s="57"/>
      <c r="I93" s="57"/>
      <c r="J93" s="5"/>
      <c r="K93" s="5"/>
      <c r="L93" s="5"/>
      <c r="M93" s="79">
        <f>M94</f>
        <v>4548322</v>
      </c>
      <c r="N93" s="79">
        <f t="shared" ref="N93:O96" si="39">N94</f>
        <v>4548321.16</v>
      </c>
      <c r="O93" s="79">
        <f t="shared" si="39"/>
        <v>4548321.16</v>
      </c>
      <c r="P93" s="75">
        <f t="shared" si="33"/>
        <v>99.999981531650576</v>
      </c>
      <c r="Q93" s="20"/>
      <c r="R93" s="20"/>
      <c r="S93" s="20"/>
      <c r="T93" s="20"/>
      <c r="U93" s="20"/>
      <c r="V93" s="20"/>
    </row>
    <row r="94" spans="1:22" ht="24" hidden="1" customHeight="1" x14ac:dyDescent="0.2">
      <c r="A94" s="43" t="s">
        <v>31</v>
      </c>
      <c r="B94" s="58" t="s">
        <v>45</v>
      </c>
      <c r="C94" s="58" t="s">
        <v>13</v>
      </c>
      <c r="D94" s="58">
        <v>81</v>
      </c>
      <c r="E94" s="58" t="s">
        <v>32</v>
      </c>
      <c r="F94" s="58" t="s">
        <v>0</v>
      </c>
      <c r="G94" s="58" t="s">
        <v>0</v>
      </c>
      <c r="H94" s="58" t="s">
        <v>0</v>
      </c>
      <c r="I94" s="58" t="s">
        <v>0</v>
      </c>
      <c r="J94" s="7"/>
      <c r="K94" s="7"/>
      <c r="L94" s="7"/>
      <c r="M94" s="79">
        <f>M95</f>
        <v>4548322</v>
      </c>
      <c r="N94" s="79">
        <f t="shared" si="39"/>
        <v>4548321.16</v>
      </c>
      <c r="O94" s="79">
        <f t="shared" si="39"/>
        <v>4548321.16</v>
      </c>
      <c r="P94" s="75">
        <f t="shared" si="33"/>
        <v>99.999981531650576</v>
      </c>
      <c r="Q94" s="20"/>
      <c r="R94" s="20"/>
      <c r="S94" s="20"/>
      <c r="T94" s="20"/>
      <c r="U94" s="20"/>
      <c r="V94" s="20"/>
    </row>
    <row r="95" spans="1:22" ht="35.25" hidden="1" customHeight="1" x14ac:dyDescent="0.2">
      <c r="A95" s="43" t="s">
        <v>64</v>
      </c>
      <c r="B95" s="58">
        <v>17</v>
      </c>
      <c r="C95" s="58">
        <v>7</v>
      </c>
      <c r="D95" s="58">
        <v>81</v>
      </c>
      <c r="E95" s="58">
        <v>819</v>
      </c>
      <c r="F95" s="58"/>
      <c r="G95" s="58"/>
      <c r="H95" s="58"/>
      <c r="I95" s="58"/>
      <c r="J95" s="7"/>
      <c r="K95" s="7"/>
      <c r="L95" s="7"/>
      <c r="M95" s="79">
        <f>M96</f>
        <v>4548322</v>
      </c>
      <c r="N95" s="79">
        <f t="shared" si="39"/>
        <v>4548321.16</v>
      </c>
      <c r="O95" s="79">
        <f t="shared" si="39"/>
        <v>4548321.16</v>
      </c>
      <c r="P95" s="75">
        <f t="shared" si="33"/>
        <v>99.999981531650576</v>
      </c>
      <c r="Q95" s="20"/>
      <c r="R95" s="20"/>
      <c r="S95" s="20"/>
      <c r="T95" s="20"/>
      <c r="U95" s="20"/>
      <c r="V95" s="20"/>
    </row>
    <row r="96" spans="1:22" ht="17.25" hidden="1" customHeight="1" x14ac:dyDescent="0.2">
      <c r="A96" s="43" t="s">
        <v>24</v>
      </c>
      <c r="B96" s="58" t="s">
        <v>45</v>
      </c>
      <c r="C96" s="58" t="s">
        <v>13</v>
      </c>
      <c r="D96" s="58">
        <v>81</v>
      </c>
      <c r="E96" s="58" t="s">
        <v>32</v>
      </c>
      <c r="F96" s="58" t="s">
        <v>18</v>
      </c>
      <c r="G96" s="58" t="s">
        <v>0</v>
      </c>
      <c r="H96" s="58" t="s">
        <v>0</v>
      </c>
      <c r="I96" s="58" t="s">
        <v>0</v>
      </c>
      <c r="J96" s="7"/>
      <c r="K96" s="7"/>
      <c r="L96" s="7"/>
      <c r="M96" s="79">
        <f>M97</f>
        <v>4548322</v>
      </c>
      <c r="N96" s="79">
        <f t="shared" si="39"/>
        <v>4548321.16</v>
      </c>
      <c r="O96" s="79">
        <f t="shared" si="39"/>
        <v>4548321.16</v>
      </c>
      <c r="P96" s="75">
        <f t="shared" si="33"/>
        <v>99.999981531650576</v>
      </c>
      <c r="Q96" s="20"/>
      <c r="R96" s="20"/>
      <c r="S96" s="20"/>
      <c r="T96" s="20"/>
      <c r="U96" s="20"/>
      <c r="V96" s="20"/>
    </row>
    <row r="97" spans="1:22" s="1" customFormat="1" ht="19.5" hidden="1" customHeight="1" x14ac:dyDescent="0.2">
      <c r="A97" s="43" t="s">
        <v>26</v>
      </c>
      <c r="B97" s="58" t="s">
        <v>45</v>
      </c>
      <c r="C97" s="58" t="s">
        <v>13</v>
      </c>
      <c r="D97" s="58">
        <v>81</v>
      </c>
      <c r="E97" s="58" t="s">
        <v>32</v>
      </c>
      <c r="F97" s="58" t="s">
        <v>18</v>
      </c>
      <c r="G97" s="58" t="s">
        <v>16</v>
      </c>
      <c r="H97" s="58" t="s">
        <v>0</v>
      </c>
      <c r="I97" s="58" t="s">
        <v>0</v>
      </c>
      <c r="J97" s="7"/>
      <c r="K97" s="7"/>
      <c r="L97" s="7"/>
      <c r="M97" s="79">
        <f>M98+M99</f>
        <v>4548322</v>
      </c>
      <c r="N97" s="79">
        <f t="shared" ref="N97:O97" si="40">N98+N99</f>
        <v>4548321.16</v>
      </c>
      <c r="O97" s="79">
        <f t="shared" si="40"/>
        <v>4548321.16</v>
      </c>
      <c r="P97" s="75">
        <f t="shared" si="33"/>
        <v>99.999981531650576</v>
      </c>
      <c r="Q97" s="20"/>
      <c r="R97" s="20"/>
      <c r="S97" s="20"/>
      <c r="T97" s="20"/>
      <c r="U97" s="20"/>
      <c r="V97" s="20"/>
    </row>
    <row r="98" spans="1:22" ht="40.5" hidden="1" customHeight="1" x14ac:dyDescent="0.2">
      <c r="A98" s="43" t="s">
        <v>33</v>
      </c>
      <c r="B98" s="58" t="s">
        <v>45</v>
      </c>
      <c r="C98" s="58" t="s">
        <v>13</v>
      </c>
      <c r="D98" s="58">
        <v>81</v>
      </c>
      <c r="E98" s="58" t="s">
        <v>32</v>
      </c>
      <c r="F98" s="58" t="s">
        <v>18</v>
      </c>
      <c r="G98" s="58" t="s">
        <v>16</v>
      </c>
      <c r="H98" s="58">
        <v>11260</v>
      </c>
      <c r="I98" s="58" t="s">
        <v>0</v>
      </c>
      <c r="J98" s="7"/>
      <c r="K98" s="7"/>
      <c r="L98" s="7"/>
      <c r="M98" s="79">
        <f>M100</f>
        <v>2849159</v>
      </c>
      <c r="N98" s="79">
        <f t="shared" ref="N98:O98" si="41">N100</f>
        <v>2849158.16</v>
      </c>
      <c r="O98" s="79">
        <f t="shared" si="41"/>
        <v>2849158.16</v>
      </c>
      <c r="P98" s="75">
        <f t="shared" si="33"/>
        <v>99.999970517615907</v>
      </c>
      <c r="Q98" s="20"/>
      <c r="R98" s="20"/>
      <c r="S98" s="20"/>
      <c r="T98" s="20"/>
      <c r="U98" s="20"/>
      <c r="V98" s="20"/>
    </row>
    <row r="99" spans="1:22" s="12" customFormat="1" ht="27.75" hidden="1" customHeight="1" x14ac:dyDescent="0.2">
      <c r="A99" s="49" t="s">
        <v>129</v>
      </c>
      <c r="B99" s="58" t="s">
        <v>45</v>
      </c>
      <c r="C99" s="58" t="s">
        <v>13</v>
      </c>
      <c r="D99" s="58">
        <v>81</v>
      </c>
      <c r="E99" s="58" t="s">
        <v>32</v>
      </c>
      <c r="F99" s="58" t="s">
        <v>18</v>
      </c>
      <c r="G99" s="58" t="s">
        <v>16</v>
      </c>
      <c r="H99" s="66" t="s">
        <v>189</v>
      </c>
      <c r="I99" s="58"/>
      <c r="J99" s="7"/>
      <c r="K99" s="7"/>
      <c r="L99" s="7"/>
      <c r="M99" s="79">
        <f>M101</f>
        <v>1699163</v>
      </c>
      <c r="N99" s="79">
        <f t="shared" ref="N99:O99" si="42">N101</f>
        <v>1699163</v>
      </c>
      <c r="O99" s="79">
        <f t="shared" si="42"/>
        <v>1699163</v>
      </c>
      <c r="P99" s="75">
        <f t="shared" si="33"/>
        <v>100</v>
      </c>
      <c r="Q99" s="20"/>
      <c r="R99" s="20"/>
      <c r="S99" s="20"/>
      <c r="T99" s="20"/>
      <c r="U99" s="20"/>
      <c r="V99" s="20"/>
    </row>
    <row r="100" spans="1:22" ht="24" hidden="1" customHeight="1" x14ac:dyDescent="0.2">
      <c r="A100" s="227" t="s">
        <v>34</v>
      </c>
      <c r="B100" s="58" t="s">
        <v>45</v>
      </c>
      <c r="C100" s="58" t="s">
        <v>13</v>
      </c>
      <c r="D100" s="58">
        <v>81</v>
      </c>
      <c r="E100" s="58" t="s">
        <v>32</v>
      </c>
      <c r="F100" s="58" t="s">
        <v>18</v>
      </c>
      <c r="G100" s="58" t="s">
        <v>16</v>
      </c>
      <c r="H100" s="58">
        <v>11260</v>
      </c>
      <c r="I100" s="58" t="s">
        <v>35</v>
      </c>
      <c r="J100" s="7"/>
      <c r="K100" s="7"/>
      <c r="L100" s="7"/>
      <c r="M100" s="79">
        <f>M105+M102</f>
        <v>2849159</v>
      </c>
      <c r="N100" s="79">
        <f t="shared" ref="N100:O100" si="43">N105+N102</f>
        <v>2849158.16</v>
      </c>
      <c r="O100" s="79">
        <f t="shared" si="43"/>
        <v>2849158.16</v>
      </c>
      <c r="P100" s="75">
        <f t="shared" si="33"/>
        <v>99.999970517615907</v>
      </c>
      <c r="Q100" s="20"/>
      <c r="R100" s="20"/>
      <c r="S100" s="20"/>
      <c r="T100" s="20"/>
      <c r="U100" s="20"/>
      <c r="V100" s="20"/>
    </row>
    <row r="101" spans="1:22" s="12" customFormat="1" ht="24" hidden="1" customHeight="1" x14ac:dyDescent="0.2">
      <c r="A101" s="227"/>
      <c r="B101" s="58" t="s">
        <v>45</v>
      </c>
      <c r="C101" s="58" t="s">
        <v>13</v>
      </c>
      <c r="D101" s="58">
        <v>81</v>
      </c>
      <c r="E101" s="58" t="s">
        <v>32</v>
      </c>
      <c r="F101" s="58" t="s">
        <v>18</v>
      </c>
      <c r="G101" s="58" t="s">
        <v>16</v>
      </c>
      <c r="H101" s="66" t="s">
        <v>189</v>
      </c>
      <c r="I101" s="58" t="s">
        <v>35</v>
      </c>
      <c r="J101" s="7"/>
      <c r="K101" s="7"/>
      <c r="L101" s="7"/>
      <c r="M101" s="79">
        <f>M106</f>
        <v>1699163</v>
      </c>
      <c r="N101" s="79">
        <f t="shared" ref="N101:O101" si="44">N106</f>
        <v>1699163</v>
      </c>
      <c r="O101" s="79">
        <f t="shared" si="44"/>
        <v>1699163</v>
      </c>
      <c r="P101" s="75">
        <f t="shared" si="33"/>
        <v>100</v>
      </c>
      <c r="Q101" s="20"/>
      <c r="R101" s="20"/>
      <c r="S101" s="20"/>
      <c r="T101" s="20"/>
      <c r="U101" s="20"/>
      <c r="V101" s="20"/>
    </row>
    <row r="102" spans="1:22" s="12" customFormat="1" ht="38.25" hidden="1" customHeight="1" x14ac:dyDescent="0.2">
      <c r="A102" s="85" t="s">
        <v>89</v>
      </c>
      <c r="B102" s="58">
        <v>17</v>
      </c>
      <c r="C102" s="58">
        <v>7</v>
      </c>
      <c r="D102" s="58">
        <v>81</v>
      </c>
      <c r="E102" s="58">
        <v>819</v>
      </c>
      <c r="F102" s="58" t="s">
        <v>18</v>
      </c>
      <c r="G102" s="58" t="s">
        <v>16</v>
      </c>
      <c r="H102" s="66">
        <v>11260</v>
      </c>
      <c r="I102" s="58">
        <v>414</v>
      </c>
      <c r="J102" s="7"/>
      <c r="K102" s="7"/>
      <c r="L102" s="7"/>
      <c r="M102" s="79">
        <f>M103</f>
        <v>256490</v>
      </c>
      <c r="N102" s="79">
        <f t="shared" ref="N102:O103" si="45">N103</f>
        <v>256489.5</v>
      </c>
      <c r="O102" s="79">
        <f t="shared" si="45"/>
        <v>256489.5</v>
      </c>
      <c r="P102" s="75">
        <f t="shared" si="33"/>
        <v>99.999805060626144</v>
      </c>
      <c r="Q102" s="20"/>
      <c r="R102" s="20"/>
      <c r="S102" s="20"/>
      <c r="T102" s="20"/>
      <c r="U102" s="20"/>
      <c r="V102" s="20"/>
    </row>
    <row r="103" spans="1:22" s="12" customFormat="1" ht="18.75" hidden="1" customHeight="1" x14ac:dyDescent="0.2">
      <c r="A103" s="50" t="s">
        <v>161</v>
      </c>
      <c r="B103" s="58"/>
      <c r="C103" s="58"/>
      <c r="D103" s="58"/>
      <c r="E103" s="58"/>
      <c r="F103" s="58"/>
      <c r="G103" s="58"/>
      <c r="H103" s="66"/>
      <c r="I103" s="58"/>
      <c r="J103" s="7"/>
      <c r="K103" s="7"/>
      <c r="L103" s="7"/>
      <c r="M103" s="79">
        <f>M104</f>
        <v>256490</v>
      </c>
      <c r="N103" s="79">
        <f t="shared" si="45"/>
        <v>256489.5</v>
      </c>
      <c r="O103" s="79">
        <f t="shared" si="45"/>
        <v>256489.5</v>
      </c>
      <c r="P103" s="75">
        <f t="shared" si="33"/>
        <v>99.999805060626144</v>
      </c>
      <c r="Q103" s="20"/>
      <c r="R103" s="20"/>
      <c r="S103" s="20"/>
      <c r="T103" s="20"/>
      <c r="U103" s="20"/>
      <c r="V103" s="20"/>
    </row>
    <row r="104" spans="1:22" s="12" customFormat="1" ht="26.25" hidden="1" customHeight="1" x14ac:dyDescent="0.2">
      <c r="A104" s="42" t="s">
        <v>395</v>
      </c>
      <c r="B104" s="57">
        <v>17</v>
      </c>
      <c r="C104" s="57">
        <v>7</v>
      </c>
      <c r="D104" s="57">
        <v>81</v>
      </c>
      <c r="E104" s="57">
        <v>819</v>
      </c>
      <c r="F104" s="57" t="s">
        <v>18</v>
      </c>
      <c r="G104" s="57" t="s">
        <v>16</v>
      </c>
      <c r="H104" s="67">
        <v>11260</v>
      </c>
      <c r="I104" s="57">
        <v>414</v>
      </c>
      <c r="J104" s="5" t="s">
        <v>68</v>
      </c>
      <c r="K104" s="5">
        <v>7.5060000000000002</v>
      </c>
      <c r="L104" s="7"/>
      <c r="M104" s="83">
        <v>256490</v>
      </c>
      <c r="N104" s="94">
        <f>O104</f>
        <v>256489.5</v>
      </c>
      <c r="O104" s="80">
        <v>256489.5</v>
      </c>
      <c r="P104" s="74">
        <f t="shared" si="33"/>
        <v>99.999805060626144</v>
      </c>
      <c r="Q104" s="20"/>
      <c r="R104" s="20"/>
      <c r="S104" s="20"/>
      <c r="T104" s="20"/>
      <c r="U104" s="20"/>
      <c r="V104" s="20"/>
    </row>
    <row r="105" spans="1:22" s="16" customFormat="1" ht="17.25" hidden="1" customHeight="1" x14ac:dyDescent="0.2">
      <c r="A105" s="233" t="s">
        <v>90</v>
      </c>
      <c r="B105" s="58" t="s">
        <v>45</v>
      </c>
      <c r="C105" s="58" t="s">
        <v>13</v>
      </c>
      <c r="D105" s="58">
        <v>81</v>
      </c>
      <c r="E105" s="58" t="s">
        <v>32</v>
      </c>
      <c r="F105" s="58" t="s">
        <v>18</v>
      </c>
      <c r="G105" s="58" t="s">
        <v>16</v>
      </c>
      <c r="H105" s="58">
        <v>11260</v>
      </c>
      <c r="I105" s="58" t="s">
        <v>35</v>
      </c>
      <c r="J105" s="4"/>
      <c r="K105" s="4"/>
      <c r="L105" s="18"/>
      <c r="M105" s="77">
        <f>M109+M115+M111+M113</f>
        <v>2592669</v>
      </c>
      <c r="N105" s="77">
        <f t="shared" ref="N105:O105" si="46">N109+N115+N111+N113</f>
        <v>2592668.66</v>
      </c>
      <c r="O105" s="77">
        <f t="shared" si="46"/>
        <v>2592668.66</v>
      </c>
      <c r="P105" s="75">
        <f t="shared" si="33"/>
        <v>99.999986886100771</v>
      </c>
      <c r="Q105" s="25"/>
      <c r="R105" s="25"/>
      <c r="S105" s="25"/>
      <c r="T105" s="25"/>
      <c r="U105" s="25"/>
      <c r="V105" s="25"/>
    </row>
    <row r="106" spans="1:22" s="16" customFormat="1" ht="20.25" hidden="1" customHeight="1" x14ac:dyDescent="0.2">
      <c r="A106" s="233"/>
      <c r="B106" s="58" t="s">
        <v>45</v>
      </c>
      <c r="C106" s="58" t="s">
        <v>13</v>
      </c>
      <c r="D106" s="58">
        <v>81</v>
      </c>
      <c r="E106" s="58" t="s">
        <v>32</v>
      </c>
      <c r="F106" s="58" t="s">
        <v>18</v>
      </c>
      <c r="G106" s="58" t="s">
        <v>16</v>
      </c>
      <c r="H106" s="66" t="s">
        <v>189</v>
      </c>
      <c r="I106" s="58" t="s">
        <v>35</v>
      </c>
      <c r="J106" s="4"/>
      <c r="K106" s="4"/>
      <c r="L106" s="18"/>
      <c r="M106" s="77">
        <f>M108</f>
        <v>1699163</v>
      </c>
      <c r="N106" s="77">
        <f t="shared" ref="N106:O106" si="47">N108</f>
        <v>1699163</v>
      </c>
      <c r="O106" s="77">
        <f t="shared" si="47"/>
        <v>1699163</v>
      </c>
      <c r="P106" s="75">
        <f t="shared" si="33"/>
        <v>100</v>
      </c>
      <c r="Q106" s="25"/>
      <c r="R106" s="25"/>
      <c r="S106" s="25"/>
      <c r="T106" s="25"/>
      <c r="U106" s="25"/>
      <c r="V106" s="25"/>
    </row>
    <row r="107" spans="1:22" ht="12.75" hidden="1" customHeight="1" x14ac:dyDescent="0.2">
      <c r="A107" s="50" t="s">
        <v>75</v>
      </c>
      <c r="B107" s="57"/>
      <c r="C107" s="57"/>
      <c r="D107" s="57"/>
      <c r="E107" s="57"/>
      <c r="F107" s="57"/>
      <c r="G107" s="57"/>
      <c r="H107" s="57"/>
      <c r="I107" s="57"/>
      <c r="J107" s="4"/>
      <c r="K107" s="4"/>
      <c r="L107" s="18"/>
      <c r="M107" s="79">
        <f>M108+M109</f>
        <v>1853338</v>
      </c>
      <c r="N107" s="79">
        <f t="shared" ref="N107:O107" si="48">N108+N109</f>
        <v>1853338</v>
      </c>
      <c r="O107" s="79">
        <f t="shared" si="48"/>
        <v>1853338</v>
      </c>
      <c r="P107" s="75">
        <f t="shared" si="33"/>
        <v>100</v>
      </c>
      <c r="Q107" s="20"/>
      <c r="R107" s="20"/>
      <c r="S107" s="20"/>
      <c r="T107" s="20"/>
      <c r="U107" s="20"/>
      <c r="V107" s="20"/>
    </row>
    <row r="108" spans="1:22" ht="36" hidden="1" customHeight="1" x14ac:dyDescent="0.2">
      <c r="A108" s="46" t="s">
        <v>377</v>
      </c>
      <c r="B108" s="57" t="s">
        <v>45</v>
      </c>
      <c r="C108" s="57" t="s">
        <v>13</v>
      </c>
      <c r="D108" s="57">
        <v>81</v>
      </c>
      <c r="E108" s="57" t="s">
        <v>32</v>
      </c>
      <c r="F108" s="57" t="s">
        <v>18</v>
      </c>
      <c r="G108" s="57" t="s">
        <v>16</v>
      </c>
      <c r="H108" s="67" t="s">
        <v>189</v>
      </c>
      <c r="I108" s="57" t="s">
        <v>35</v>
      </c>
      <c r="J108" s="5" t="s">
        <v>115</v>
      </c>
      <c r="K108" s="19" t="s">
        <v>116</v>
      </c>
      <c r="L108" s="18">
        <v>2016</v>
      </c>
      <c r="M108" s="83">
        <f>3135921-1436758</f>
        <v>1699163</v>
      </c>
      <c r="N108" s="94">
        <f>O108</f>
        <v>1699163</v>
      </c>
      <c r="O108" s="80">
        <v>1699163</v>
      </c>
      <c r="P108" s="74">
        <f t="shared" si="33"/>
        <v>100</v>
      </c>
      <c r="Q108" s="20"/>
      <c r="R108" s="20"/>
      <c r="S108" s="20"/>
      <c r="T108" s="20"/>
      <c r="U108" s="20"/>
      <c r="V108" s="20"/>
    </row>
    <row r="109" spans="1:22" ht="38.25" hidden="1" customHeight="1" x14ac:dyDescent="0.2">
      <c r="A109" s="46" t="s">
        <v>399</v>
      </c>
      <c r="B109" s="57" t="s">
        <v>45</v>
      </c>
      <c r="C109" s="57" t="s">
        <v>13</v>
      </c>
      <c r="D109" s="57">
        <v>81</v>
      </c>
      <c r="E109" s="57" t="s">
        <v>32</v>
      </c>
      <c r="F109" s="57" t="s">
        <v>18</v>
      </c>
      <c r="G109" s="57" t="s">
        <v>16</v>
      </c>
      <c r="H109" s="57">
        <v>11260</v>
      </c>
      <c r="I109" s="57" t="s">
        <v>35</v>
      </c>
      <c r="J109" s="5" t="s">
        <v>115</v>
      </c>
      <c r="K109" s="5" t="s">
        <v>117</v>
      </c>
      <c r="L109" s="18">
        <v>2017</v>
      </c>
      <c r="M109" s="83">
        <f>157600-41548+38123</f>
        <v>154175</v>
      </c>
      <c r="N109" s="94">
        <f>O109</f>
        <v>154175</v>
      </c>
      <c r="O109" s="80">
        <v>154175</v>
      </c>
      <c r="P109" s="74">
        <f t="shared" si="33"/>
        <v>100</v>
      </c>
      <c r="Q109" s="20"/>
      <c r="R109" s="20"/>
      <c r="S109" s="20"/>
      <c r="T109" s="20"/>
      <c r="U109" s="20"/>
      <c r="V109" s="20"/>
    </row>
    <row r="110" spans="1:22" s="12" customFormat="1" ht="16.5" hidden="1" customHeight="1" x14ac:dyDescent="0.2">
      <c r="A110" s="50" t="s">
        <v>70</v>
      </c>
      <c r="B110" s="57"/>
      <c r="C110" s="57"/>
      <c r="D110" s="57"/>
      <c r="E110" s="57"/>
      <c r="F110" s="57"/>
      <c r="G110" s="57"/>
      <c r="H110" s="57"/>
      <c r="I110" s="57"/>
      <c r="J110" s="5"/>
      <c r="K110" s="5"/>
      <c r="L110" s="18"/>
      <c r="M110" s="79">
        <f>M111</f>
        <v>205215</v>
      </c>
      <c r="N110" s="79">
        <f t="shared" ref="N110:O110" si="49">N111</f>
        <v>205215</v>
      </c>
      <c r="O110" s="79">
        <f t="shared" si="49"/>
        <v>205215</v>
      </c>
      <c r="P110" s="75">
        <f t="shared" si="33"/>
        <v>100</v>
      </c>
      <c r="Q110" s="20"/>
      <c r="R110" s="20"/>
      <c r="S110" s="20"/>
      <c r="T110" s="20"/>
      <c r="U110" s="20"/>
      <c r="V110" s="20"/>
    </row>
    <row r="111" spans="1:22" s="12" customFormat="1" ht="50.25" hidden="1" customHeight="1" x14ac:dyDescent="0.2">
      <c r="A111" s="46" t="s">
        <v>400</v>
      </c>
      <c r="B111" s="61" t="s">
        <v>45</v>
      </c>
      <c r="C111" s="61" t="s">
        <v>13</v>
      </c>
      <c r="D111" s="61">
        <v>81</v>
      </c>
      <c r="E111" s="61" t="s">
        <v>32</v>
      </c>
      <c r="F111" s="61" t="s">
        <v>18</v>
      </c>
      <c r="G111" s="61" t="s">
        <v>16</v>
      </c>
      <c r="H111" s="61">
        <v>11260</v>
      </c>
      <c r="I111" s="61" t="s">
        <v>35</v>
      </c>
      <c r="J111" s="19" t="s">
        <v>68</v>
      </c>
      <c r="K111" s="19">
        <v>6.2270000000000003</v>
      </c>
      <c r="L111" s="18"/>
      <c r="M111" s="81">
        <v>205215</v>
      </c>
      <c r="N111" s="94">
        <f>O111</f>
        <v>205215</v>
      </c>
      <c r="O111" s="80">
        <v>205215</v>
      </c>
      <c r="P111" s="74">
        <f t="shared" si="33"/>
        <v>100</v>
      </c>
      <c r="Q111" s="20"/>
      <c r="R111" s="20"/>
      <c r="S111" s="20"/>
      <c r="T111" s="20"/>
      <c r="U111" s="20"/>
      <c r="V111" s="20"/>
    </row>
    <row r="112" spans="1:22" s="12" customFormat="1" ht="23.25" hidden="1" customHeight="1" x14ac:dyDescent="0.2">
      <c r="A112" s="50" t="s">
        <v>97</v>
      </c>
      <c r="B112" s="61"/>
      <c r="C112" s="61"/>
      <c r="D112" s="61"/>
      <c r="E112" s="61"/>
      <c r="F112" s="61"/>
      <c r="G112" s="61"/>
      <c r="H112" s="61"/>
      <c r="I112" s="61"/>
      <c r="J112" s="19"/>
      <c r="K112" s="19"/>
      <c r="L112" s="18"/>
      <c r="M112" s="82">
        <f>M113</f>
        <v>15000</v>
      </c>
      <c r="N112" s="82">
        <f t="shared" ref="N112:O112" si="50">N113</f>
        <v>15000</v>
      </c>
      <c r="O112" s="82">
        <f t="shared" si="50"/>
        <v>15000</v>
      </c>
      <c r="P112" s="75">
        <f t="shared" si="33"/>
        <v>100</v>
      </c>
      <c r="Q112" s="20"/>
      <c r="R112" s="20"/>
      <c r="S112" s="20"/>
      <c r="T112" s="20"/>
      <c r="U112" s="20"/>
      <c r="V112" s="20"/>
    </row>
    <row r="113" spans="1:22" s="12" customFormat="1" ht="38.25" hidden="1" customHeight="1" x14ac:dyDescent="0.2">
      <c r="A113" s="46" t="s">
        <v>401</v>
      </c>
      <c r="B113" s="61" t="s">
        <v>45</v>
      </c>
      <c r="C113" s="61" t="s">
        <v>13</v>
      </c>
      <c r="D113" s="61">
        <v>81</v>
      </c>
      <c r="E113" s="61" t="s">
        <v>32</v>
      </c>
      <c r="F113" s="61" t="s">
        <v>18</v>
      </c>
      <c r="G113" s="61" t="s">
        <v>16</v>
      </c>
      <c r="H113" s="61">
        <v>11260</v>
      </c>
      <c r="I113" s="61" t="s">
        <v>35</v>
      </c>
      <c r="J113" s="19" t="s">
        <v>68</v>
      </c>
      <c r="K113" s="19">
        <v>4.8</v>
      </c>
      <c r="L113" s="18"/>
      <c r="M113" s="81">
        <v>15000</v>
      </c>
      <c r="N113" s="94">
        <f>O113</f>
        <v>15000</v>
      </c>
      <c r="O113" s="80">
        <v>15000</v>
      </c>
      <c r="P113" s="74">
        <f t="shared" si="33"/>
        <v>100</v>
      </c>
      <c r="Q113" s="20"/>
      <c r="R113" s="20"/>
      <c r="S113" s="20"/>
      <c r="T113" s="20"/>
      <c r="U113" s="20"/>
      <c r="V113" s="20"/>
    </row>
    <row r="114" spans="1:22" s="12" customFormat="1" ht="15.75" hidden="1" customHeight="1" x14ac:dyDescent="0.2">
      <c r="A114" s="50" t="s">
        <v>67</v>
      </c>
      <c r="B114" s="57"/>
      <c r="C114" s="57"/>
      <c r="D114" s="57"/>
      <c r="E114" s="57"/>
      <c r="F114" s="57"/>
      <c r="G114" s="57"/>
      <c r="H114" s="57"/>
      <c r="I114" s="57"/>
      <c r="J114" s="5"/>
      <c r="K114" s="5"/>
      <c r="L114" s="18"/>
      <c r="M114" s="79">
        <f>M115</f>
        <v>2218279</v>
      </c>
      <c r="N114" s="79">
        <f t="shared" ref="N114:O114" si="51">N115</f>
        <v>2218278.66</v>
      </c>
      <c r="O114" s="79">
        <f t="shared" si="51"/>
        <v>2218278.66</v>
      </c>
      <c r="P114" s="75">
        <f t="shared" si="33"/>
        <v>99.999984672802668</v>
      </c>
      <c r="Q114" s="20"/>
      <c r="R114" s="20"/>
      <c r="S114" s="20"/>
      <c r="T114" s="20"/>
      <c r="U114" s="20"/>
      <c r="V114" s="20"/>
    </row>
    <row r="115" spans="1:22" s="12" customFormat="1" ht="39" hidden="1" customHeight="1" x14ac:dyDescent="0.2">
      <c r="A115" s="46" t="s">
        <v>408</v>
      </c>
      <c r="B115" s="57" t="s">
        <v>45</v>
      </c>
      <c r="C115" s="57" t="s">
        <v>13</v>
      </c>
      <c r="D115" s="57">
        <v>81</v>
      </c>
      <c r="E115" s="57" t="s">
        <v>32</v>
      </c>
      <c r="F115" s="57" t="s">
        <v>18</v>
      </c>
      <c r="G115" s="57" t="s">
        <v>16</v>
      </c>
      <c r="H115" s="57">
        <v>11260</v>
      </c>
      <c r="I115" s="57" t="s">
        <v>35</v>
      </c>
      <c r="J115" s="5" t="s">
        <v>68</v>
      </c>
      <c r="K115" s="5">
        <v>3.1</v>
      </c>
      <c r="L115" s="19" t="s">
        <v>355</v>
      </c>
      <c r="M115" s="83">
        <f>125000+2000000+93279</f>
        <v>2218279</v>
      </c>
      <c r="N115" s="94">
        <f>O115</f>
        <v>2218278.66</v>
      </c>
      <c r="O115" s="80">
        <v>2218278.66</v>
      </c>
      <c r="P115" s="74">
        <f t="shared" si="33"/>
        <v>99.999984672802668</v>
      </c>
      <c r="Q115" s="20"/>
      <c r="R115" s="20"/>
      <c r="S115" s="20"/>
      <c r="T115" s="20"/>
      <c r="U115" s="20"/>
      <c r="V115" s="20"/>
    </row>
    <row r="116" spans="1:22" ht="63" hidden="1" customHeight="1" x14ac:dyDescent="0.2">
      <c r="A116" s="43" t="s">
        <v>108</v>
      </c>
      <c r="B116" s="58" t="s">
        <v>47</v>
      </c>
      <c r="C116" s="58"/>
      <c r="D116" s="58"/>
      <c r="E116" s="57" t="s">
        <v>0</v>
      </c>
      <c r="F116" s="57" t="s">
        <v>0</v>
      </c>
      <c r="G116" s="57" t="s">
        <v>0</v>
      </c>
      <c r="H116" s="57" t="s">
        <v>0</v>
      </c>
      <c r="I116" s="57" t="s">
        <v>0</v>
      </c>
      <c r="J116" s="5"/>
      <c r="K116" s="5"/>
      <c r="L116" s="5"/>
      <c r="M116" s="79">
        <f>M117+M146+M173</f>
        <v>150846747.68000001</v>
      </c>
      <c r="N116" s="79">
        <f t="shared" ref="N116:O116" si="52">N117+N146+N173</f>
        <v>128234413.8</v>
      </c>
      <c r="O116" s="79">
        <f t="shared" si="52"/>
        <v>135252249.03999999</v>
      </c>
      <c r="P116" s="75">
        <f t="shared" si="33"/>
        <v>89.662025280729594</v>
      </c>
      <c r="Q116" s="20"/>
      <c r="R116" s="20"/>
      <c r="S116" s="20"/>
      <c r="T116" s="20"/>
      <c r="U116" s="20"/>
      <c r="V116" s="20"/>
    </row>
    <row r="117" spans="1:22" ht="86.25" hidden="1" customHeight="1" x14ac:dyDescent="0.2">
      <c r="A117" s="43" t="s">
        <v>48</v>
      </c>
      <c r="B117" s="58" t="s">
        <v>47</v>
      </c>
      <c r="C117" s="58" t="s">
        <v>10</v>
      </c>
      <c r="D117" s="58"/>
      <c r="E117" s="57" t="s">
        <v>0</v>
      </c>
      <c r="F117" s="57" t="s">
        <v>0</v>
      </c>
      <c r="G117" s="57" t="s">
        <v>0</v>
      </c>
      <c r="H117" s="57" t="s">
        <v>0</v>
      </c>
      <c r="I117" s="57" t="s">
        <v>0</v>
      </c>
      <c r="J117" s="5"/>
      <c r="K117" s="5"/>
      <c r="L117" s="5"/>
      <c r="M117" s="79">
        <f>M119</f>
        <v>28203562</v>
      </c>
      <c r="N117" s="79">
        <f t="shared" ref="N117:O117" si="53">N119</f>
        <v>27450480.07</v>
      </c>
      <c r="O117" s="79">
        <f t="shared" si="53"/>
        <v>28203556.07</v>
      </c>
      <c r="P117" s="75">
        <f t="shared" si="33"/>
        <v>99.999978974287004</v>
      </c>
      <c r="Q117" s="20"/>
      <c r="R117" s="20"/>
      <c r="S117" s="20"/>
      <c r="T117" s="20"/>
      <c r="U117" s="20"/>
      <c r="V117" s="20"/>
    </row>
    <row r="118" spans="1:22" s="12" customFormat="1" ht="85.5" hidden="1" customHeight="1" x14ac:dyDescent="0.2">
      <c r="A118" s="43" t="s">
        <v>180</v>
      </c>
      <c r="B118" s="58" t="s">
        <v>47</v>
      </c>
      <c r="C118" s="58" t="s">
        <v>10</v>
      </c>
      <c r="D118" s="58">
        <v>13</v>
      </c>
      <c r="E118" s="57"/>
      <c r="F118" s="57"/>
      <c r="G118" s="57"/>
      <c r="H118" s="57"/>
      <c r="I118" s="57"/>
      <c r="J118" s="5"/>
      <c r="K118" s="5"/>
      <c r="L118" s="5"/>
      <c r="M118" s="79">
        <f>M119</f>
        <v>28203562</v>
      </c>
      <c r="N118" s="79">
        <f t="shared" ref="N118:O118" si="54">N119</f>
        <v>27450480.07</v>
      </c>
      <c r="O118" s="79">
        <f t="shared" si="54"/>
        <v>28203556.07</v>
      </c>
      <c r="P118" s="75">
        <f t="shared" si="33"/>
        <v>99.999978974287004</v>
      </c>
      <c r="Q118" s="20"/>
      <c r="R118" s="20"/>
      <c r="S118" s="20"/>
      <c r="T118" s="20"/>
      <c r="U118" s="20"/>
      <c r="V118" s="20"/>
    </row>
    <row r="119" spans="1:22" ht="25.5" hidden="1" customHeight="1" x14ac:dyDescent="0.2">
      <c r="A119" s="43" t="s">
        <v>31</v>
      </c>
      <c r="B119" s="58" t="s">
        <v>47</v>
      </c>
      <c r="C119" s="58">
        <v>1</v>
      </c>
      <c r="D119" s="58">
        <v>13</v>
      </c>
      <c r="E119" s="58" t="s">
        <v>32</v>
      </c>
      <c r="F119" s="58" t="s">
        <v>0</v>
      </c>
      <c r="G119" s="58" t="s">
        <v>0</v>
      </c>
      <c r="H119" s="58" t="s">
        <v>0</v>
      </c>
      <c r="I119" s="58" t="s">
        <v>0</v>
      </c>
      <c r="J119" s="7"/>
      <c r="K119" s="7"/>
      <c r="L119" s="7"/>
      <c r="M119" s="79">
        <f t="shared" ref="M119:O124" si="55">M120</f>
        <v>28203562</v>
      </c>
      <c r="N119" s="79">
        <f t="shared" si="55"/>
        <v>27450480.07</v>
      </c>
      <c r="O119" s="79">
        <f t="shared" si="55"/>
        <v>28203556.07</v>
      </c>
      <c r="P119" s="75">
        <f t="shared" si="33"/>
        <v>99.999978974287004</v>
      </c>
      <c r="Q119" s="20"/>
      <c r="R119" s="20"/>
      <c r="S119" s="20"/>
      <c r="T119" s="20"/>
      <c r="U119" s="20"/>
      <c r="V119" s="20"/>
    </row>
    <row r="120" spans="1:22" ht="36.75" hidden="1" customHeight="1" x14ac:dyDescent="0.2">
      <c r="A120" s="43" t="s">
        <v>64</v>
      </c>
      <c r="B120" s="58">
        <v>19</v>
      </c>
      <c r="C120" s="58">
        <v>1</v>
      </c>
      <c r="D120" s="58">
        <v>13</v>
      </c>
      <c r="E120" s="58">
        <v>819</v>
      </c>
      <c r="F120" s="58"/>
      <c r="G120" s="58"/>
      <c r="H120" s="58"/>
      <c r="I120" s="58"/>
      <c r="J120" s="7"/>
      <c r="K120" s="7"/>
      <c r="L120" s="7"/>
      <c r="M120" s="79">
        <f t="shared" si="55"/>
        <v>28203562</v>
      </c>
      <c r="N120" s="79">
        <f t="shared" si="55"/>
        <v>27450480.07</v>
      </c>
      <c r="O120" s="79">
        <f t="shared" si="55"/>
        <v>28203556.07</v>
      </c>
      <c r="P120" s="75">
        <f t="shared" si="33"/>
        <v>99.999978974287004</v>
      </c>
      <c r="Q120" s="20"/>
      <c r="R120" s="20"/>
      <c r="S120" s="20"/>
      <c r="T120" s="20"/>
      <c r="U120" s="20"/>
      <c r="V120" s="20"/>
    </row>
    <row r="121" spans="1:22" ht="24.75" hidden="1" customHeight="1" x14ac:dyDescent="0.2">
      <c r="A121" s="43" t="s">
        <v>24</v>
      </c>
      <c r="B121" s="58" t="s">
        <v>47</v>
      </c>
      <c r="C121" s="58" t="s">
        <v>10</v>
      </c>
      <c r="D121" s="58">
        <v>13</v>
      </c>
      <c r="E121" s="58" t="s">
        <v>32</v>
      </c>
      <c r="F121" s="58" t="s">
        <v>18</v>
      </c>
      <c r="G121" s="58" t="s">
        <v>0</v>
      </c>
      <c r="H121" s="58" t="s">
        <v>0</v>
      </c>
      <c r="I121" s="58" t="s">
        <v>0</v>
      </c>
      <c r="J121" s="7"/>
      <c r="K121" s="7"/>
      <c r="L121" s="7"/>
      <c r="M121" s="79">
        <f t="shared" si="55"/>
        <v>28203562</v>
      </c>
      <c r="N121" s="79">
        <f t="shared" si="55"/>
        <v>27450480.07</v>
      </c>
      <c r="O121" s="79">
        <f t="shared" si="55"/>
        <v>28203556.07</v>
      </c>
      <c r="P121" s="75">
        <f t="shared" si="33"/>
        <v>99.999978974287004</v>
      </c>
      <c r="Q121" s="20"/>
      <c r="R121" s="20"/>
      <c r="S121" s="20"/>
      <c r="T121" s="20"/>
      <c r="U121" s="20"/>
      <c r="V121" s="20"/>
    </row>
    <row r="122" spans="1:22" ht="19.5" hidden="1" customHeight="1" x14ac:dyDescent="0.2">
      <c r="A122" s="43" t="s">
        <v>26</v>
      </c>
      <c r="B122" s="58" t="s">
        <v>47</v>
      </c>
      <c r="C122" s="58" t="s">
        <v>10</v>
      </c>
      <c r="D122" s="58">
        <v>13</v>
      </c>
      <c r="E122" s="58" t="s">
        <v>32</v>
      </c>
      <c r="F122" s="58" t="s">
        <v>18</v>
      </c>
      <c r="G122" s="58" t="s">
        <v>16</v>
      </c>
      <c r="H122" s="58" t="s">
        <v>0</v>
      </c>
      <c r="I122" s="58" t="s">
        <v>0</v>
      </c>
      <c r="J122" s="7"/>
      <c r="K122" s="7"/>
      <c r="L122" s="7"/>
      <c r="M122" s="79">
        <f t="shared" si="55"/>
        <v>28203562</v>
      </c>
      <c r="N122" s="79">
        <f t="shared" si="55"/>
        <v>27450480.07</v>
      </c>
      <c r="O122" s="79">
        <f t="shared" si="55"/>
        <v>28203556.07</v>
      </c>
      <c r="P122" s="75">
        <f t="shared" si="33"/>
        <v>99.999978974287004</v>
      </c>
      <c r="Q122" s="20"/>
      <c r="R122" s="20"/>
      <c r="S122" s="20"/>
      <c r="T122" s="20"/>
      <c r="U122" s="20"/>
      <c r="V122" s="20"/>
    </row>
    <row r="123" spans="1:22" ht="37.5" hidden="1" customHeight="1" x14ac:dyDescent="0.2">
      <c r="A123" s="43" t="s">
        <v>33</v>
      </c>
      <c r="B123" s="58" t="s">
        <v>47</v>
      </c>
      <c r="C123" s="58" t="s">
        <v>10</v>
      </c>
      <c r="D123" s="58">
        <v>13</v>
      </c>
      <c r="E123" s="58" t="s">
        <v>32</v>
      </c>
      <c r="F123" s="58" t="s">
        <v>18</v>
      </c>
      <c r="G123" s="58" t="s">
        <v>16</v>
      </c>
      <c r="H123" s="58">
        <v>11260</v>
      </c>
      <c r="I123" s="58" t="s">
        <v>0</v>
      </c>
      <c r="J123" s="7"/>
      <c r="K123" s="7"/>
      <c r="L123" s="7"/>
      <c r="M123" s="79">
        <f t="shared" si="55"/>
        <v>28203562</v>
      </c>
      <c r="N123" s="79">
        <f t="shared" si="55"/>
        <v>27450480.07</v>
      </c>
      <c r="O123" s="79">
        <f t="shared" si="55"/>
        <v>28203556.07</v>
      </c>
      <c r="P123" s="75">
        <f t="shared" si="33"/>
        <v>99.999978974287004</v>
      </c>
      <c r="Q123" s="20"/>
      <c r="R123" s="20"/>
      <c r="S123" s="20"/>
      <c r="T123" s="20"/>
      <c r="U123" s="20"/>
      <c r="V123" s="20"/>
    </row>
    <row r="124" spans="1:22" ht="48" hidden="1" customHeight="1" x14ac:dyDescent="0.2">
      <c r="A124" s="43" t="s">
        <v>34</v>
      </c>
      <c r="B124" s="58" t="s">
        <v>47</v>
      </c>
      <c r="C124" s="58" t="s">
        <v>10</v>
      </c>
      <c r="D124" s="58">
        <v>13</v>
      </c>
      <c r="E124" s="58" t="s">
        <v>32</v>
      </c>
      <c r="F124" s="58" t="s">
        <v>18</v>
      </c>
      <c r="G124" s="58" t="s">
        <v>16</v>
      </c>
      <c r="H124" s="58">
        <v>11260</v>
      </c>
      <c r="I124" s="58" t="s">
        <v>35</v>
      </c>
      <c r="J124" s="7"/>
      <c r="K124" s="7"/>
      <c r="L124" s="7"/>
      <c r="M124" s="79">
        <f t="shared" si="55"/>
        <v>28203562</v>
      </c>
      <c r="N124" s="79">
        <f t="shared" si="55"/>
        <v>27450480.07</v>
      </c>
      <c r="O124" s="79">
        <f t="shared" si="55"/>
        <v>28203556.07</v>
      </c>
      <c r="P124" s="75">
        <f t="shared" si="33"/>
        <v>99.999978974287004</v>
      </c>
      <c r="Q124" s="20"/>
      <c r="R124" s="20"/>
      <c r="S124" s="20"/>
      <c r="T124" s="20"/>
      <c r="U124" s="20"/>
      <c r="V124" s="20"/>
    </row>
    <row r="125" spans="1:22" s="2" customFormat="1" ht="38.25" hidden="1" customHeight="1" x14ac:dyDescent="0.2">
      <c r="A125" s="41" t="s">
        <v>90</v>
      </c>
      <c r="B125" s="58" t="s">
        <v>47</v>
      </c>
      <c r="C125" s="58" t="s">
        <v>10</v>
      </c>
      <c r="D125" s="58">
        <v>13</v>
      </c>
      <c r="E125" s="58" t="s">
        <v>32</v>
      </c>
      <c r="F125" s="58" t="s">
        <v>18</v>
      </c>
      <c r="G125" s="58" t="s">
        <v>16</v>
      </c>
      <c r="H125" s="58">
        <v>11260</v>
      </c>
      <c r="I125" s="58" t="s">
        <v>35</v>
      </c>
      <c r="J125" s="4"/>
      <c r="K125" s="4"/>
      <c r="L125" s="18"/>
      <c r="M125" s="79">
        <f>M128+M132+M136+M139+M142+M144+M126</f>
        <v>28203562</v>
      </c>
      <c r="N125" s="79">
        <f t="shared" ref="N125:O125" si="56">N128+N132+N136+N139+N142+N144+N126</f>
        <v>27450480.07</v>
      </c>
      <c r="O125" s="79">
        <f t="shared" si="56"/>
        <v>28203556.07</v>
      </c>
      <c r="P125" s="75">
        <f t="shared" si="33"/>
        <v>99.999978974287004</v>
      </c>
      <c r="Q125" s="20"/>
      <c r="R125" s="20"/>
      <c r="S125" s="20"/>
      <c r="T125" s="20"/>
      <c r="U125" s="20"/>
      <c r="V125" s="20"/>
    </row>
    <row r="126" spans="1:22" s="11" customFormat="1" ht="20.25" hidden="1" customHeight="1" x14ac:dyDescent="0.2">
      <c r="A126" s="41" t="s">
        <v>247</v>
      </c>
      <c r="B126" s="58"/>
      <c r="C126" s="58"/>
      <c r="D126" s="58"/>
      <c r="E126" s="58"/>
      <c r="F126" s="58"/>
      <c r="G126" s="58"/>
      <c r="H126" s="58"/>
      <c r="I126" s="58"/>
      <c r="J126" s="4"/>
      <c r="K126" s="4"/>
      <c r="L126" s="18"/>
      <c r="M126" s="79">
        <f>M127</f>
        <v>1487156</v>
      </c>
      <c r="N126" s="79">
        <f t="shared" ref="N126:O126" si="57">N127</f>
        <v>1487155.36</v>
      </c>
      <c r="O126" s="79">
        <f t="shared" si="57"/>
        <v>1487155.36</v>
      </c>
      <c r="P126" s="75">
        <f t="shared" si="33"/>
        <v>99.999956964837594</v>
      </c>
      <c r="Q126" s="20"/>
      <c r="R126" s="20"/>
      <c r="S126" s="20"/>
      <c r="T126" s="20"/>
      <c r="U126" s="20"/>
      <c r="V126" s="20"/>
    </row>
    <row r="127" spans="1:22" s="11" customFormat="1" ht="63.75" hidden="1" customHeight="1" x14ac:dyDescent="0.2">
      <c r="A127" s="51" t="s">
        <v>248</v>
      </c>
      <c r="B127" s="57" t="s">
        <v>47</v>
      </c>
      <c r="C127" s="57" t="s">
        <v>10</v>
      </c>
      <c r="D127" s="57">
        <v>13</v>
      </c>
      <c r="E127" s="57" t="s">
        <v>32</v>
      </c>
      <c r="F127" s="57" t="s">
        <v>18</v>
      </c>
      <c r="G127" s="57" t="s">
        <v>16</v>
      </c>
      <c r="H127" s="57">
        <v>11260</v>
      </c>
      <c r="I127" s="57" t="s">
        <v>35</v>
      </c>
      <c r="J127" s="18" t="s">
        <v>242</v>
      </c>
      <c r="K127" s="18" t="s">
        <v>249</v>
      </c>
      <c r="L127" s="18">
        <v>2016</v>
      </c>
      <c r="M127" s="83">
        <f>1020000+467156</f>
        <v>1487156</v>
      </c>
      <c r="N127" s="94">
        <f>O127</f>
        <v>1487155.36</v>
      </c>
      <c r="O127" s="80">
        <v>1487155.36</v>
      </c>
      <c r="P127" s="74">
        <f t="shared" si="33"/>
        <v>99.999956964837594</v>
      </c>
      <c r="Q127" s="20"/>
      <c r="R127" s="20"/>
      <c r="S127" s="20"/>
      <c r="T127" s="20"/>
      <c r="U127" s="20"/>
      <c r="V127" s="20"/>
    </row>
    <row r="128" spans="1:22" s="11" customFormat="1" ht="20.25" hidden="1" customHeight="1" x14ac:dyDescent="0.2">
      <c r="A128" s="41" t="s">
        <v>69</v>
      </c>
      <c r="B128" s="57"/>
      <c r="C128" s="57"/>
      <c r="D128" s="57"/>
      <c r="E128" s="57"/>
      <c r="F128" s="57"/>
      <c r="G128" s="57"/>
      <c r="H128" s="57"/>
      <c r="I128" s="57"/>
      <c r="J128" s="4"/>
      <c r="K128" s="4"/>
      <c r="L128" s="18"/>
      <c r="M128" s="79">
        <f>M129+M130</f>
        <v>4787382</v>
      </c>
      <c r="N128" s="79">
        <f t="shared" ref="N128:O128" si="58">N129+N130</f>
        <v>4287380.4400000004</v>
      </c>
      <c r="O128" s="79">
        <f t="shared" si="58"/>
        <v>4787380.4400000004</v>
      </c>
      <c r="P128" s="75">
        <f t="shared" si="33"/>
        <v>99.999967414340446</v>
      </c>
      <c r="Q128" s="20"/>
      <c r="R128" s="20"/>
      <c r="S128" s="20"/>
      <c r="T128" s="20"/>
      <c r="U128" s="20"/>
      <c r="V128" s="20"/>
    </row>
    <row r="129" spans="1:22" s="11" customFormat="1" ht="30.75" hidden="1" customHeight="1" x14ac:dyDescent="0.2">
      <c r="A129" s="46" t="s">
        <v>150</v>
      </c>
      <c r="B129" s="57" t="s">
        <v>47</v>
      </c>
      <c r="C129" s="57" t="s">
        <v>10</v>
      </c>
      <c r="D129" s="57">
        <v>13</v>
      </c>
      <c r="E129" s="57" t="s">
        <v>32</v>
      </c>
      <c r="F129" s="57" t="s">
        <v>18</v>
      </c>
      <c r="G129" s="57" t="s">
        <v>16</v>
      </c>
      <c r="H129" s="57">
        <v>11260</v>
      </c>
      <c r="I129" s="57" t="s">
        <v>35</v>
      </c>
      <c r="J129" s="4" t="s">
        <v>68</v>
      </c>
      <c r="K129" s="4">
        <v>1.39</v>
      </c>
      <c r="L129" s="18"/>
      <c r="M129" s="83">
        <f>234900+3000000-419279-775486</f>
        <v>2040135</v>
      </c>
      <c r="N129" s="94">
        <f>O129</f>
        <v>2040134.22</v>
      </c>
      <c r="O129" s="89">
        <v>2040134.22</v>
      </c>
      <c r="P129" s="74">
        <f t="shared" si="33"/>
        <v>99.999961767235988</v>
      </c>
      <c r="Q129" s="20"/>
      <c r="R129" s="20"/>
      <c r="S129" s="20"/>
      <c r="T129" s="20"/>
      <c r="U129" s="20"/>
      <c r="V129" s="20"/>
    </row>
    <row r="130" spans="1:22" s="20" customFormat="1" ht="30.75" hidden="1" customHeight="1" x14ac:dyDescent="0.2">
      <c r="A130" s="46" t="s">
        <v>192</v>
      </c>
      <c r="B130" s="61" t="s">
        <v>47</v>
      </c>
      <c r="C130" s="61" t="s">
        <v>10</v>
      </c>
      <c r="D130" s="61">
        <v>13</v>
      </c>
      <c r="E130" s="61" t="s">
        <v>32</v>
      </c>
      <c r="F130" s="61" t="s">
        <v>18</v>
      </c>
      <c r="G130" s="61" t="s">
        <v>16</v>
      </c>
      <c r="H130" s="61">
        <v>11260</v>
      </c>
      <c r="I130" s="61" t="s">
        <v>35</v>
      </c>
      <c r="J130" s="4" t="s">
        <v>68</v>
      </c>
      <c r="K130" s="18">
        <v>1.798</v>
      </c>
      <c r="L130" s="18"/>
      <c r="M130" s="81">
        <f>757100+2200000-209853</f>
        <v>2747247</v>
      </c>
      <c r="N130" s="94">
        <f>O130-O131</f>
        <v>2247246.2200000002</v>
      </c>
      <c r="O130" s="89">
        <v>2747246.22</v>
      </c>
      <c r="P130" s="74">
        <f t="shared" si="33"/>
        <v>99.999971607940608</v>
      </c>
    </row>
    <row r="131" spans="1:22" s="20" customFormat="1" ht="36.75" hidden="1" customHeight="1" x14ac:dyDescent="0.2">
      <c r="A131" s="52" t="s">
        <v>191</v>
      </c>
      <c r="B131" s="61"/>
      <c r="C131" s="61"/>
      <c r="D131" s="61"/>
      <c r="E131" s="61"/>
      <c r="F131" s="61"/>
      <c r="G131" s="61"/>
      <c r="H131" s="61"/>
      <c r="I131" s="61"/>
      <c r="J131" s="18"/>
      <c r="K131" s="18"/>
      <c r="L131" s="18"/>
      <c r="M131" s="81">
        <v>500000</v>
      </c>
      <c r="N131" s="94">
        <v>0</v>
      </c>
      <c r="O131" s="89">
        <v>500000</v>
      </c>
      <c r="P131" s="74">
        <f t="shared" si="33"/>
        <v>100</v>
      </c>
    </row>
    <row r="132" spans="1:22" s="11" customFormat="1" ht="20.25" hidden="1" customHeight="1" x14ac:dyDescent="0.2">
      <c r="A132" s="41" t="s">
        <v>74</v>
      </c>
      <c r="B132" s="57"/>
      <c r="C132" s="57"/>
      <c r="D132" s="57"/>
      <c r="E132" s="57"/>
      <c r="F132" s="57"/>
      <c r="G132" s="57"/>
      <c r="H132" s="57"/>
      <c r="I132" s="57"/>
      <c r="J132" s="4"/>
      <c r="K132" s="4"/>
      <c r="L132" s="18"/>
      <c r="M132" s="79">
        <f>M133+M135</f>
        <v>4453550</v>
      </c>
      <c r="N132" s="79">
        <f t="shared" ref="N132:O132" si="59">N133+N135</f>
        <v>4430472.0199999996</v>
      </c>
      <c r="O132" s="79">
        <f t="shared" si="59"/>
        <v>4453548.0199999996</v>
      </c>
      <c r="P132" s="75">
        <f t="shared" si="33"/>
        <v>99.9999555410852</v>
      </c>
      <c r="Q132" s="20"/>
      <c r="R132" s="20"/>
      <c r="S132" s="20"/>
      <c r="T132" s="20"/>
      <c r="U132" s="20"/>
      <c r="V132" s="20"/>
    </row>
    <row r="133" spans="1:22" s="11" customFormat="1" ht="26.25" hidden="1" customHeight="1" x14ac:dyDescent="0.2">
      <c r="A133" s="46" t="s">
        <v>418</v>
      </c>
      <c r="B133" s="57" t="s">
        <v>47</v>
      </c>
      <c r="C133" s="57" t="s">
        <v>10</v>
      </c>
      <c r="D133" s="57">
        <v>13</v>
      </c>
      <c r="E133" s="57" t="s">
        <v>32</v>
      </c>
      <c r="F133" s="57" t="s">
        <v>18</v>
      </c>
      <c r="G133" s="57" t="s">
        <v>16</v>
      </c>
      <c r="H133" s="57">
        <v>11260</v>
      </c>
      <c r="I133" s="57" t="s">
        <v>35</v>
      </c>
      <c r="J133" s="5" t="s">
        <v>115</v>
      </c>
      <c r="K133" s="5" t="s">
        <v>213</v>
      </c>
      <c r="L133" s="18"/>
      <c r="M133" s="83">
        <v>473550</v>
      </c>
      <c r="N133" s="94">
        <f>O133-O134</f>
        <v>450474</v>
      </c>
      <c r="O133" s="91">
        <v>473550</v>
      </c>
      <c r="P133" s="74">
        <f t="shared" si="33"/>
        <v>100</v>
      </c>
      <c r="Q133" s="20"/>
      <c r="R133" s="20"/>
      <c r="S133" s="20"/>
      <c r="T133" s="20"/>
      <c r="U133" s="20"/>
      <c r="V133" s="20"/>
    </row>
    <row r="134" spans="1:22" s="20" customFormat="1" ht="37.5" hidden="1" customHeight="1" x14ac:dyDescent="0.2">
      <c r="A134" s="52" t="s">
        <v>191</v>
      </c>
      <c r="B134" s="61"/>
      <c r="C134" s="61"/>
      <c r="D134" s="61"/>
      <c r="E134" s="61"/>
      <c r="F134" s="61"/>
      <c r="G134" s="61"/>
      <c r="H134" s="61"/>
      <c r="I134" s="61"/>
      <c r="J134" s="18"/>
      <c r="K134" s="18"/>
      <c r="L134" s="18"/>
      <c r="M134" s="81">
        <v>23076</v>
      </c>
      <c r="N134" s="94">
        <v>0</v>
      </c>
      <c r="O134" s="91">
        <v>23076</v>
      </c>
      <c r="P134" s="74">
        <f t="shared" si="33"/>
        <v>100</v>
      </c>
    </row>
    <row r="135" spans="1:22" s="20" customFormat="1" ht="48" hidden="1" customHeight="1" x14ac:dyDescent="0.2">
      <c r="A135" s="46" t="s">
        <v>326</v>
      </c>
      <c r="B135" s="57" t="s">
        <v>47</v>
      </c>
      <c r="C135" s="57" t="s">
        <v>10</v>
      </c>
      <c r="D135" s="57">
        <v>13</v>
      </c>
      <c r="E135" s="57" t="s">
        <v>32</v>
      </c>
      <c r="F135" s="57" t="s">
        <v>18</v>
      </c>
      <c r="G135" s="57" t="s">
        <v>16</v>
      </c>
      <c r="H135" s="57">
        <v>11260</v>
      </c>
      <c r="I135" s="57" t="s">
        <v>35</v>
      </c>
      <c r="J135" s="18" t="s">
        <v>68</v>
      </c>
      <c r="K135" s="18">
        <v>4.9000000000000004</v>
      </c>
      <c r="L135" s="18"/>
      <c r="M135" s="81">
        <f>3000000+980000</f>
        <v>3980000</v>
      </c>
      <c r="N135" s="94">
        <f>O135</f>
        <v>3979998.02</v>
      </c>
      <c r="O135" s="80">
        <v>3979998.02</v>
      </c>
      <c r="P135" s="74">
        <f t="shared" si="33"/>
        <v>99.99995025125628</v>
      </c>
    </row>
    <row r="136" spans="1:22" s="11" customFormat="1" ht="15.75" hidden="1" customHeight="1" x14ac:dyDescent="0.2">
      <c r="A136" s="41" t="s">
        <v>96</v>
      </c>
      <c r="B136" s="57"/>
      <c r="C136" s="57"/>
      <c r="D136" s="57"/>
      <c r="E136" s="57"/>
      <c r="F136" s="57"/>
      <c r="G136" s="57"/>
      <c r="H136" s="57"/>
      <c r="I136" s="57"/>
      <c r="J136" s="4"/>
      <c r="K136" s="4"/>
      <c r="L136" s="18"/>
      <c r="M136" s="79">
        <f>M137+M138</f>
        <v>4529576</v>
      </c>
      <c r="N136" s="79">
        <f t="shared" ref="N136:O136" si="60">N137+N138</f>
        <v>4529575.3899999997</v>
      </c>
      <c r="O136" s="79">
        <f t="shared" si="60"/>
        <v>4529575.3899999997</v>
      </c>
      <c r="P136" s="75">
        <f t="shared" si="33"/>
        <v>99.99998653295583</v>
      </c>
      <c r="Q136" s="20"/>
      <c r="R136" s="20"/>
      <c r="S136" s="20"/>
      <c r="T136" s="20"/>
      <c r="U136" s="20"/>
      <c r="V136" s="20"/>
    </row>
    <row r="137" spans="1:22" s="11" customFormat="1" ht="48" hidden="1" customHeight="1" x14ac:dyDescent="0.2">
      <c r="A137" s="46" t="s">
        <v>409</v>
      </c>
      <c r="B137" s="57" t="s">
        <v>47</v>
      </c>
      <c r="C137" s="57" t="s">
        <v>10</v>
      </c>
      <c r="D137" s="57">
        <v>13</v>
      </c>
      <c r="E137" s="57" t="s">
        <v>32</v>
      </c>
      <c r="F137" s="57" t="s">
        <v>18</v>
      </c>
      <c r="G137" s="57" t="s">
        <v>16</v>
      </c>
      <c r="H137" s="57">
        <v>11260</v>
      </c>
      <c r="I137" s="57" t="s">
        <v>35</v>
      </c>
      <c r="J137" s="5" t="s">
        <v>115</v>
      </c>
      <c r="K137" s="5" t="s">
        <v>214</v>
      </c>
      <c r="L137" s="18"/>
      <c r="M137" s="83">
        <f>1817100+2000000+162169-249964</f>
        <v>3729305</v>
      </c>
      <c r="N137" s="94">
        <f>O137</f>
        <v>3729304.5</v>
      </c>
      <c r="O137" s="91">
        <v>3729304.5</v>
      </c>
      <c r="P137" s="74">
        <f t="shared" si="33"/>
        <v>99.999986592676109</v>
      </c>
      <c r="Q137" s="20"/>
      <c r="R137" s="20"/>
      <c r="S137" s="20"/>
      <c r="T137" s="20"/>
      <c r="U137" s="20"/>
      <c r="V137" s="20"/>
    </row>
    <row r="138" spans="1:22" s="11" customFormat="1" ht="12.75" hidden="1" customHeight="1" x14ac:dyDescent="0.2">
      <c r="A138" s="46" t="s">
        <v>300</v>
      </c>
      <c r="B138" s="57" t="s">
        <v>47</v>
      </c>
      <c r="C138" s="57" t="s">
        <v>10</v>
      </c>
      <c r="D138" s="57">
        <v>13</v>
      </c>
      <c r="E138" s="57" t="s">
        <v>32</v>
      </c>
      <c r="F138" s="57" t="s">
        <v>18</v>
      </c>
      <c r="G138" s="57" t="s">
        <v>16</v>
      </c>
      <c r="H138" s="57">
        <v>11260</v>
      </c>
      <c r="I138" s="57" t="s">
        <v>35</v>
      </c>
      <c r="J138" s="4" t="s">
        <v>68</v>
      </c>
      <c r="K138" s="4">
        <v>2.1720000000000002</v>
      </c>
      <c r="L138" s="18"/>
      <c r="M138" s="83">
        <f>564050+184423+51798</f>
        <v>800271</v>
      </c>
      <c r="N138" s="94">
        <f>O138</f>
        <v>800270.89</v>
      </c>
      <c r="O138" s="91">
        <v>800270.89</v>
      </c>
      <c r="P138" s="74">
        <f t="shared" ref="P138:P201" si="61">O138/M138*100</f>
        <v>99.999986254656235</v>
      </c>
      <c r="Q138" s="20"/>
      <c r="R138" s="20"/>
      <c r="S138" s="20"/>
      <c r="T138" s="20"/>
      <c r="U138" s="20"/>
      <c r="V138" s="20"/>
    </row>
    <row r="139" spans="1:22" s="11" customFormat="1" ht="16.5" hidden="1" customHeight="1" x14ac:dyDescent="0.2">
      <c r="A139" s="41" t="s">
        <v>123</v>
      </c>
      <c r="B139" s="57"/>
      <c r="C139" s="57"/>
      <c r="D139" s="57"/>
      <c r="E139" s="57"/>
      <c r="F139" s="57"/>
      <c r="G139" s="57"/>
      <c r="H139" s="57"/>
      <c r="I139" s="57"/>
      <c r="J139" s="4"/>
      <c r="K139" s="4"/>
      <c r="L139" s="18"/>
      <c r="M139" s="79">
        <f>M140</f>
        <v>230000</v>
      </c>
      <c r="N139" s="79">
        <f t="shared" ref="N139:O139" si="62">N140</f>
        <v>0</v>
      </c>
      <c r="O139" s="79">
        <f t="shared" si="62"/>
        <v>230000</v>
      </c>
      <c r="P139" s="75">
        <f t="shared" si="61"/>
        <v>100</v>
      </c>
      <c r="Q139" s="20"/>
      <c r="R139" s="20"/>
      <c r="S139" s="20"/>
      <c r="T139" s="20"/>
      <c r="U139" s="20"/>
      <c r="V139" s="20"/>
    </row>
    <row r="140" spans="1:22" s="20" customFormat="1" ht="36" hidden="1" customHeight="1" x14ac:dyDescent="0.2">
      <c r="A140" s="46" t="s">
        <v>193</v>
      </c>
      <c r="B140" s="61" t="s">
        <v>47</v>
      </c>
      <c r="C140" s="61" t="s">
        <v>10</v>
      </c>
      <c r="D140" s="61">
        <v>13</v>
      </c>
      <c r="E140" s="61" t="s">
        <v>32</v>
      </c>
      <c r="F140" s="61" t="s">
        <v>18</v>
      </c>
      <c r="G140" s="61" t="s">
        <v>16</v>
      </c>
      <c r="H140" s="61">
        <v>11260</v>
      </c>
      <c r="I140" s="61" t="s">
        <v>35</v>
      </c>
      <c r="J140" s="18"/>
      <c r="K140" s="18"/>
      <c r="L140" s="18"/>
      <c r="M140" s="81">
        <v>230000</v>
      </c>
      <c r="N140" s="94">
        <v>0</v>
      </c>
      <c r="O140" s="91">
        <v>230000</v>
      </c>
      <c r="P140" s="74">
        <f t="shared" si="61"/>
        <v>100</v>
      </c>
    </row>
    <row r="141" spans="1:22" s="20" customFormat="1" ht="36.75" hidden="1" customHeight="1" x14ac:dyDescent="0.2">
      <c r="A141" s="52" t="s">
        <v>191</v>
      </c>
      <c r="B141" s="61"/>
      <c r="C141" s="61"/>
      <c r="D141" s="61"/>
      <c r="E141" s="61"/>
      <c r="F141" s="61"/>
      <c r="G141" s="61"/>
      <c r="H141" s="61"/>
      <c r="I141" s="61"/>
      <c r="J141" s="18"/>
      <c r="K141" s="18"/>
      <c r="L141" s="18"/>
      <c r="M141" s="81">
        <v>230000</v>
      </c>
      <c r="N141" s="94">
        <v>0</v>
      </c>
      <c r="O141" s="91">
        <v>230000</v>
      </c>
      <c r="P141" s="74">
        <f t="shared" si="61"/>
        <v>100</v>
      </c>
    </row>
    <row r="142" spans="1:22" s="11" customFormat="1" ht="26.25" hidden="1" customHeight="1" x14ac:dyDescent="0.2">
      <c r="A142" s="41" t="s">
        <v>124</v>
      </c>
      <c r="B142" s="57"/>
      <c r="C142" s="57"/>
      <c r="D142" s="57"/>
      <c r="E142" s="57"/>
      <c r="F142" s="57"/>
      <c r="G142" s="57"/>
      <c r="H142" s="57"/>
      <c r="I142" s="57"/>
      <c r="J142" s="4"/>
      <c r="K142" s="4"/>
      <c r="L142" s="18"/>
      <c r="M142" s="79">
        <f>M143</f>
        <v>1072703</v>
      </c>
      <c r="N142" s="79">
        <f t="shared" ref="N142:O142" si="63">N143</f>
        <v>1072701.8600000001</v>
      </c>
      <c r="O142" s="79">
        <f t="shared" si="63"/>
        <v>1072701.8600000001</v>
      </c>
      <c r="P142" s="75">
        <f t="shared" si="61"/>
        <v>99.999893726408899</v>
      </c>
      <c r="Q142" s="20"/>
      <c r="R142" s="20"/>
      <c r="S142" s="20"/>
      <c r="T142" s="20"/>
      <c r="U142" s="20"/>
      <c r="V142" s="20"/>
    </row>
    <row r="143" spans="1:22" s="11" customFormat="1" ht="27" hidden="1" customHeight="1" x14ac:dyDescent="0.2">
      <c r="A143" s="46" t="s">
        <v>410</v>
      </c>
      <c r="B143" s="57" t="s">
        <v>47</v>
      </c>
      <c r="C143" s="57" t="s">
        <v>10</v>
      </c>
      <c r="D143" s="57">
        <v>13</v>
      </c>
      <c r="E143" s="57" t="s">
        <v>32</v>
      </c>
      <c r="F143" s="57" t="s">
        <v>18</v>
      </c>
      <c r="G143" s="57" t="s">
        <v>16</v>
      </c>
      <c r="H143" s="57">
        <v>11260</v>
      </c>
      <c r="I143" s="57" t="s">
        <v>35</v>
      </c>
      <c r="J143" s="4" t="s">
        <v>68</v>
      </c>
      <c r="K143" s="4">
        <v>11</v>
      </c>
      <c r="L143" s="18"/>
      <c r="M143" s="83">
        <f>842225+16443+214035</f>
        <v>1072703</v>
      </c>
      <c r="N143" s="94">
        <f>O143</f>
        <v>1072701.8600000001</v>
      </c>
      <c r="O143" s="91">
        <v>1072701.8600000001</v>
      </c>
      <c r="P143" s="74">
        <f t="shared" si="61"/>
        <v>99.999893726408899</v>
      </c>
      <c r="Q143" s="20"/>
      <c r="R143" s="20"/>
      <c r="S143" s="20"/>
      <c r="T143" s="20"/>
      <c r="U143" s="20"/>
      <c r="V143" s="20"/>
    </row>
    <row r="144" spans="1:22" s="11" customFormat="1" ht="19.5" hidden="1" customHeight="1" x14ac:dyDescent="0.2">
      <c r="A144" s="41" t="s">
        <v>71</v>
      </c>
      <c r="B144" s="57"/>
      <c r="C144" s="57"/>
      <c r="D144" s="57"/>
      <c r="E144" s="57"/>
      <c r="F144" s="57"/>
      <c r="G144" s="57"/>
      <c r="H144" s="57"/>
      <c r="I144" s="57"/>
      <c r="J144" s="4"/>
      <c r="K144" s="4"/>
      <c r="L144" s="18"/>
      <c r="M144" s="79">
        <f>M145</f>
        <v>11643195</v>
      </c>
      <c r="N144" s="79">
        <f t="shared" ref="N144:O144" si="64">N145</f>
        <v>11643195</v>
      </c>
      <c r="O144" s="79">
        <f t="shared" si="64"/>
        <v>11643195</v>
      </c>
      <c r="P144" s="75">
        <f t="shared" si="61"/>
        <v>100</v>
      </c>
      <c r="Q144" s="20"/>
      <c r="R144" s="20"/>
      <c r="S144" s="20"/>
      <c r="T144" s="20"/>
      <c r="U144" s="20"/>
      <c r="V144" s="20"/>
    </row>
    <row r="145" spans="1:22" s="11" customFormat="1" ht="12.75" hidden="1" customHeight="1" x14ac:dyDescent="0.2">
      <c r="A145" s="46" t="s">
        <v>156</v>
      </c>
      <c r="B145" s="57" t="s">
        <v>47</v>
      </c>
      <c r="C145" s="57" t="s">
        <v>10</v>
      </c>
      <c r="D145" s="57">
        <v>13</v>
      </c>
      <c r="E145" s="57" t="s">
        <v>32</v>
      </c>
      <c r="F145" s="57" t="s">
        <v>18</v>
      </c>
      <c r="G145" s="57" t="s">
        <v>16</v>
      </c>
      <c r="H145" s="57">
        <v>11260</v>
      </c>
      <c r="I145" s="57" t="s">
        <v>35</v>
      </c>
      <c r="J145" s="4" t="s">
        <v>220</v>
      </c>
      <c r="K145" s="4">
        <v>2500</v>
      </c>
      <c r="L145" s="18"/>
      <c r="M145" s="83">
        <f>8502400-16443+3157238</f>
        <v>11643195</v>
      </c>
      <c r="N145" s="94">
        <f>O145</f>
        <v>11643195</v>
      </c>
      <c r="O145" s="91">
        <v>11643195</v>
      </c>
      <c r="P145" s="74">
        <f t="shared" si="61"/>
        <v>100</v>
      </c>
      <c r="Q145" s="20"/>
      <c r="R145" s="20"/>
      <c r="S145" s="20"/>
      <c r="T145" s="20"/>
      <c r="U145" s="20"/>
      <c r="V145" s="20"/>
    </row>
    <row r="146" spans="1:22" ht="39.75" hidden="1" customHeight="1" x14ac:dyDescent="0.2">
      <c r="A146" s="43" t="s">
        <v>49</v>
      </c>
      <c r="B146" s="58" t="s">
        <v>47</v>
      </c>
      <c r="C146" s="58" t="s">
        <v>11</v>
      </c>
      <c r="D146" s="58"/>
      <c r="E146" s="57" t="s">
        <v>0</v>
      </c>
      <c r="F146" s="57" t="s">
        <v>0</v>
      </c>
      <c r="G146" s="57" t="s">
        <v>0</v>
      </c>
      <c r="H146" s="57" t="s">
        <v>0</v>
      </c>
      <c r="I146" s="57" t="s">
        <v>0</v>
      </c>
      <c r="J146" s="5"/>
      <c r="K146" s="5"/>
      <c r="L146" s="5"/>
      <c r="M146" s="79">
        <f>M148</f>
        <v>6443892.2400000002</v>
      </c>
      <c r="N146" s="79">
        <f t="shared" ref="N146:O146" si="65">N148</f>
        <v>5661748.2400000002</v>
      </c>
      <c r="O146" s="79">
        <f t="shared" si="65"/>
        <v>6443892.2400000002</v>
      </c>
      <c r="P146" s="75">
        <f t="shared" si="61"/>
        <v>100</v>
      </c>
      <c r="Q146" s="20"/>
      <c r="R146" s="20"/>
      <c r="S146" s="20"/>
      <c r="T146" s="20"/>
      <c r="U146" s="20"/>
      <c r="V146" s="20"/>
    </row>
    <row r="147" spans="1:22" s="12" customFormat="1" ht="60.75" hidden="1" customHeight="1" x14ac:dyDescent="0.2">
      <c r="A147" s="43" t="s">
        <v>181</v>
      </c>
      <c r="B147" s="58" t="s">
        <v>47</v>
      </c>
      <c r="C147" s="58" t="s">
        <v>11</v>
      </c>
      <c r="D147" s="58">
        <v>14</v>
      </c>
      <c r="E147" s="57"/>
      <c r="F147" s="57"/>
      <c r="G147" s="57"/>
      <c r="H147" s="57"/>
      <c r="I147" s="57"/>
      <c r="J147" s="5"/>
      <c r="K147" s="5"/>
      <c r="L147" s="5"/>
      <c r="M147" s="79">
        <f t="shared" ref="M147:O152" si="66">M148</f>
        <v>6443892.2400000002</v>
      </c>
      <c r="N147" s="79">
        <f t="shared" si="66"/>
        <v>5661748.2400000002</v>
      </c>
      <c r="O147" s="79">
        <f t="shared" si="66"/>
        <v>6443892.2400000002</v>
      </c>
      <c r="P147" s="75">
        <f t="shared" si="61"/>
        <v>100</v>
      </c>
      <c r="Q147" s="20"/>
      <c r="R147" s="20"/>
      <c r="S147" s="20"/>
      <c r="T147" s="20"/>
      <c r="U147" s="20"/>
      <c r="V147" s="20"/>
    </row>
    <row r="148" spans="1:22" ht="24" hidden="1" customHeight="1" x14ac:dyDescent="0.2">
      <c r="A148" s="43" t="s">
        <v>31</v>
      </c>
      <c r="B148" s="58" t="s">
        <v>47</v>
      </c>
      <c r="C148" s="58" t="s">
        <v>11</v>
      </c>
      <c r="D148" s="58">
        <v>14</v>
      </c>
      <c r="E148" s="58" t="s">
        <v>32</v>
      </c>
      <c r="F148" s="57"/>
      <c r="G148" s="57"/>
      <c r="H148" s="57"/>
      <c r="I148" s="57"/>
      <c r="J148" s="5"/>
      <c r="K148" s="5"/>
      <c r="L148" s="5"/>
      <c r="M148" s="79">
        <f t="shared" si="66"/>
        <v>6443892.2400000002</v>
      </c>
      <c r="N148" s="79">
        <f t="shared" si="66"/>
        <v>5661748.2400000002</v>
      </c>
      <c r="O148" s="79">
        <f t="shared" si="66"/>
        <v>6443892.2400000002</v>
      </c>
      <c r="P148" s="75">
        <f t="shared" si="61"/>
        <v>100</v>
      </c>
      <c r="Q148" s="20"/>
      <c r="R148" s="20"/>
      <c r="S148" s="20"/>
      <c r="T148" s="20"/>
      <c r="U148" s="20"/>
      <c r="V148" s="20"/>
    </row>
    <row r="149" spans="1:22" ht="37.5" hidden="1" customHeight="1" x14ac:dyDescent="0.2">
      <c r="A149" s="43" t="s">
        <v>64</v>
      </c>
      <c r="B149" s="58" t="s">
        <v>47</v>
      </c>
      <c r="C149" s="58" t="s">
        <v>11</v>
      </c>
      <c r="D149" s="58">
        <v>14</v>
      </c>
      <c r="E149" s="58" t="s">
        <v>32</v>
      </c>
      <c r="F149" s="57"/>
      <c r="G149" s="57"/>
      <c r="H149" s="57"/>
      <c r="I149" s="57"/>
      <c r="J149" s="5"/>
      <c r="K149" s="5"/>
      <c r="L149" s="5"/>
      <c r="M149" s="79">
        <f t="shared" si="66"/>
        <v>6443892.2400000002</v>
      </c>
      <c r="N149" s="79">
        <f t="shared" si="66"/>
        <v>5661748.2400000002</v>
      </c>
      <c r="O149" s="79">
        <f t="shared" si="66"/>
        <v>6443892.2400000002</v>
      </c>
      <c r="P149" s="75">
        <f t="shared" si="61"/>
        <v>100</v>
      </c>
      <c r="Q149" s="20"/>
      <c r="R149" s="20"/>
      <c r="S149" s="20"/>
      <c r="T149" s="20"/>
      <c r="U149" s="20"/>
      <c r="V149" s="20"/>
    </row>
    <row r="150" spans="1:22" ht="16.5" hidden="1" customHeight="1" x14ac:dyDescent="0.2">
      <c r="A150" s="43" t="s">
        <v>24</v>
      </c>
      <c r="B150" s="58" t="s">
        <v>47</v>
      </c>
      <c r="C150" s="58" t="s">
        <v>11</v>
      </c>
      <c r="D150" s="58">
        <v>14</v>
      </c>
      <c r="E150" s="58" t="s">
        <v>32</v>
      </c>
      <c r="F150" s="58" t="s">
        <v>18</v>
      </c>
      <c r="G150" s="58" t="s">
        <v>0</v>
      </c>
      <c r="H150" s="58" t="s">
        <v>0</v>
      </c>
      <c r="I150" s="58" t="s">
        <v>0</v>
      </c>
      <c r="J150" s="7"/>
      <c r="K150" s="7"/>
      <c r="L150" s="7"/>
      <c r="M150" s="79">
        <f t="shared" si="66"/>
        <v>6443892.2400000002</v>
      </c>
      <c r="N150" s="79">
        <f t="shared" si="66"/>
        <v>5661748.2400000002</v>
      </c>
      <c r="O150" s="79">
        <f t="shared" si="66"/>
        <v>6443892.2400000002</v>
      </c>
      <c r="P150" s="75">
        <f t="shared" si="61"/>
        <v>100</v>
      </c>
      <c r="Q150" s="20"/>
      <c r="R150" s="20"/>
      <c r="S150" s="20"/>
      <c r="T150" s="20"/>
      <c r="U150" s="20"/>
      <c r="V150" s="20"/>
    </row>
    <row r="151" spans="1:22" ht="15" hidden="1" customHeight="1" x14ac:dyDescent="0.2">
      <c r="A151" s="43" t="s">
        <v>26</v>
      </c>
      <c r="B151" s="58" t="s">
        <v>47</v>
      </c>
      <c r="C151" s="58" t="s">
        <v>11</v>
      </c>
      <c r="D151" s="58">
        <v>14</v>
      </c>
      <c r="E151" s="58" t="s">
        <v>32</v>
      </c>
      <c r="F151" s="58" t="s">
        <v>18</v>
      </c>
      <c r="G151" s="58" t="s">
        <v>16</v>
      </c>
      <c r="H151" s="58" t="s">
        <v>0</v>
      </c>
      <c r="I151" s="58" t="s">
        <v>0</v>
      </c>
      <c r="J151" s="7"/>
      <c r="K151" s="7"/>
      <c r="L151" s="7"/>
      <c r="M151" s="79">
        <f t="shared" si="66"/>
        <v>6443892.2400000002</v>
      </c>
      <c r="N151" s="79">
        <f t="shared" si="66"/>
        <v>5661748.2400000002</v>
      </c>
      <c r="O151" s="79">
        <f t="shared" si="66"/>
        <v>6443892.2400000002</v>
      </c>
      <c r="P151" s="75">
        <f t="shared" si="61"/>
        <v>100</v>
      </c>
      <c r="Q151" s="20"/>
      <c r="R151" s="20"/>
      <c r="S151" s="20"/>
      <c r="T151" s="20"/>
      <c r="U151" s="20"/>
      <c r="V151" s="20"/>
    </row>
    <row r="152" spans="1:22" ht="40.5" hidden="1" customHeight="1" x14ac:dyDescent="0.2">
      <c r="A152" s="43" t="s">
        <v>33</v>
      </c>
      <c r="B152" s="58" t="s">
        <v>47</v>
      </c>
      <c r="C152" s="58" t="s">
        <v>11</v>
      </c>
      <c r="D152" s="58">
        <v>14</v>
      </c>
      <c r="E152" s="58" t="s">
        <v>32</v>
      </c>
      <c r="F152" s="58" t="s">
        <v>18</v>
      </c>
      <c r="G152" s="58" t="s">
        <v>16</v>
      </c>
      <c r="H152" s="58">
        <v>11260</v>
      </c>
      <c r="I152" s="58" t="s">
        <v>0</v>
      </c>
      <c r="J152" s="7"/>
      <c r="K152" s="7"/>
      <c r="L152" s="7"/>
      <c r="M152" s="79">
        <f t="shared" si="66"/>
        <v>6443892.2400000002</v>
      </c>
      <c r="N152" s="79">
        <f t="shared" si="66"/>
        <v>5661748.2400000002</v>
      </c>
      <c r="O152" s="79">
        <f t="shared" si="66"/>
        <v>6443892.2400000002</v>
      </c>
      <c r="P152" s="75">
        <f t="shared" si="61"/>
        <v>100</v>
      </c>
      <c r="Q152" s="20"/>
      <c r="R152" s="20"/>
      <c r="S152" s="20"/>
      <c r="T152" s="20"/>
      <c r="U152" s="20"/>
      <c r="V152" s="20"/>
    </row>
    <row r="153" spans="1:22" ht="48" hidden="1" customHeight="1" x14ac:dyDescent="0.2">
      <c r="A153" s="43" t="s">
        <v>34</v>
      </c>
      <c r="B153" s="58" t="s">
        <v>47</v>
      </c>
      <c r="C153" s="58" t="s">
        <v>11</v>
      </c>
      <c r="D153" s="58">
        <v>14</v>
      </c>
      <c r="E153" s="58" t="s">
        <v>32</v>
      </c>
      <c r="F153" s="58" t="s">
        <v>18</v>
      </c>
      <c r="G153" s="58" t="s">
        <v>16</v>
      </c>
      <c r="H153" s="58">
        <v>11260</v>
      </c>
      <c r="I153" s="58" t="s">
        <v>35</v>
      </c>
      <c r="J153" s="7"/>
      <c r="K153" s="7"/>
      <c r="L153" s="5"/>
      <c r="M153" s="79">
        <f>M154+M157+M166</f>
        <v>6443892.2400000002</v>
      </c>
      <c r="N153" s="79">
        <f t="shared" ref="N153:O153" si="67">N154+N157+N166</f>
        <v>5661748.2400000002</v>
      </c>
      <c r="O153" s="79">
        <f t="shared" si="67"/>
        <v>6443892.2400000002</v>
      </c>
      <c r="P153" s="75">
        <f t="shared" si="61"/>
        <v>100</v>
      </c>
      <c r="Q153" s="20"/>
      <c r="R153" s="20"/>
      <c r="S153" s="20"/>
      <c r="T153" s="20"/>
      <c r="U153" s="20"/>
      <c r="V153" s="20"/>
    </row>
    <row r="154" spans="1:22" ht="35.25" hidden="1" customHeight="1" x14ac:dyDescent="0.2">
      <c r="A154" s="41" t="s">
        <v>89</v>
      </c>
      <c r="B154" s="58" t="s">
        <v>47</v>
      </c>
      <c r="C154" s="58" t="s">
        <v>11</v>
      </c>
      <c r="D154" s="58">
        <v>14</v>
      </c>
      <c r="E154" s="58" t="s">
        <v>32</v>
      </c>
      <c r="F154" s="58" t="s">
        <v>18</v>
      </c>
      <c r="G154" s="58" t="s">
        <v>16</v>
      </c>
      <c r="H154" s="58">
        <v>11260</v>
      </c>
      <c r="I154" s="58" t="s">
        <v>35</v>
      </c>
      <c r="J154" s="4"/>
      <c r="K154" s="4"/>
      <c r="L154" s="18"/>
      <c r="M154" s="79">
        <f>M155</f>
        <v>726602</v>
      </c>
      <c r="N154" s="79">
        <f t="shared" ref="N154:O155" si="68">N155</f>
        <v>726602</v>
      </c>
      <c r="O154" s="79">
        <f t="shared" si="68"/>
        <v>726602</v>
      </c>
      <c r="P154" s="75">
        <f t="shared" si="61"/>
        <v>100</v>
      </c>
      <c r="Q154" s="20"/>
      <c r="R154" s="20"/>
      <c r="S154" s="20"/>
      <c r="T154" s="20"/>
      <c r="U154" s="20"/>
      <c r="V154" s="20"/>
    </row>
    <row r="155" spans="1:22" ht="12.75" hidden="1" customHeight="1" x14ac:dyDescent="0.2">
      <c r="A155" s="53" t="s">
        <v>75</v>
      </c>
      <c r="B155" s="57"/>
      <c r="C155" s="57"/>
      <c r="D155" s="57"/>
      <c r="E155" s="57"/>
      <c r="F155" s="57"/>
      <c r="G155" s="57"/>
      <c r="H155" s="57"/>
      <c r="I155" s="57"/>
      <c r="J155" s="4"/>
      <c r="K155" s="4"/>
      <c r="L155" s="18"/>
      <c r="M155" s="79">
        <f>M156</f>
        <v>726602</v>
      </c>
      <c r="N155" s="79">
        <f t="shared" si="68"/>
        <v>726602</v>
      </c>
      <c r="O155" s="79">
        <f t="shared" si="68"/>
        <v>726602</v>
      </c>
      <c r="P155" s="75">
        <f t="shared" si="61"/>
        <v>100</v>
      </c>
      <c r="Q155" s="20"/>
      <c r="R155" s="20"/>
      <c r="S155" s="20"/>
      <c r="T155" s="20"/>
      <c r="U155" s="20"/>
      <c r="V155" s="20"/>
    </row>
    <row r="156" spans="1:22" ht="12.75" hidden="1" customHeight="1" x14ac:dyDescent="0.2">
      <c r="A156" s="47" t="s">
        <v>152</v>
      </c>
      <c r="B156" s="57" t="s">
        <v>47</v>
      </c>
      <c r="C156" s="57" t="s">
        <v>11</v>
      </c>
      <c r="D156" s="57">
        <v>14</v>
      </c>
      <c r="E156" s="57" t="s">
        <v>32</v>
      </c>
      <c r="F156" s="57" t="s">
        <v>18</v>
      </c>
      <c r="G156" s="57" t="s">
        <v>16</v>
      </c>
      <c r="H156" s="57">
        <v>11260</v>
      </c>
      <c r="I156" s="57" t="s">
        <v>35</v>
      </c>
      <c r="J156" s="4" t="s">
        <v>68</v>
      </c>
      <c r="K156" s="4">
        <v>4.6260000000000003</v>
      </c>
      <c r="L156" s="18"/>
      <c r="M156" s="83">
        <f>484755+273564-78497+51132-4352</f>
        <v>726602</v>
      </c>
      <c r="N156" s="94">
        <f>O156</f>
        <v>726602</v>
      </c>
      <c r="O156" s="91">
        <v>726602</v>
      </c>
      <c r="P156" s="74">
        <f t="shared" si="61"/>
        <v>100</v>
      </c>
      <c r="Q156" s="20"/>
      <c r="R156" s="20"/>
      <c r="S156" s="20"/>
      <c r="T156" s="20"/>
      <c r="U156" s="20"/>
      <c r="V156" s="20"/>
    </row>
    <row r="157" spans="1:22" ht="39.75" hidden="1" customHeight="1" x14ac:dyDescent="0.2">
      <c r="A157" s="41" t="s">
        <v>90</v>
      </c>
      <c r="B157" s="58" t="s">
        <v>47</v>
      </c>
      <c r="C157" s="58" t="s">
        <v>11</v>
      </c>
      <c r="D157" s="58">
        <v>14</v>
      </c>
      <c r="E157" s="58" t="s">
        <v>32</v>
      </c>
      <c r="F157" s="58" t="s">
        <v>18</v>
      </c>
      <c r="G157" s="58" t="s">
        <v>16</v>
      </c>
      <c r="H157" s="58">
        <v>11260</v>
      </c>
      <c r="I157" s="58" t="s">
        <v>35</v>
      </c>
      <c r="J157" s="4"/>
      <c r="K157" s="4"/>
      <c r="L157" s="18"/>
      <c r="M157" s="79">
        <f>M161+M158</f>
        <v>5432346.2400000002</v>
      </c>
      <c r="N157" s="79">
        <f t="shared" ref="N157:O157" si="69">N161+N158</f>
        <v>4935146.24</v>
      </c>
      <c r="O157" s="79">
        <f t="shared" si="69"/>
        <v>5432346.2400000002</v>
      </c>
      <c r="P157" s="75">
        <f t="shared" si="61"/>
        <v>100</v>
      </c>
      <c r="Q157" s="20"/>
      <c r="R157" s="20"/>
      <c r="S157" s="20"/>
      <c r="T157" s="20"/>
      <c r="U157" s="20"/>
      <c r="V157" s="20"/>
    </row>
    <row r="158" spans="1:22" s="20" customFormat="1" ht="12.75" hidden="1" customHeight="1" x14ac:dyDescent="0.2">
      <c r="A158" s="50" t="s">
        <v>70</v>
      </c>
      <c r="B158" s="60"/>
      <c r="C158" s="60"/>
      <c r="D158" s="60"/>
      <c r="E158" s="60"/>
      <c r="F158" s="60"/>
      <c r="G158" s="60"/>
      <c r="H158" s="60"/>
      <c r="I158" s="60"/>
      <c r="J158" s="18"/>
      <c r="K158" s="18"/>
      <c r="L158" s="18"/>
      <c r="M158" s="82">
        <f>M159</f>
        <v>97200</v>
      </c>
      <c r="N158" s="82">
        <f t="shared" ref="N158:O158" si="70">N159</f>
        <v>0</v>
      </c>
      <c r="O158" s="82">
        <f t="shared" si="70"/>
        <v>97200</v>
      </c>
      <c r="P158" s="75">
        <f t="shared" si="61"/>
        <v>100</v>
      </c>
    </row>
    <row r="159" spans="1:22" s="20" customFormat="1" ht="24" hidden="1" customHeight="1" x14ac:dyDescent="0.2">
      <c r="A159" s="47" t="s">
        <v>316</v>
      </c>
      <c r="B159" s="61" t="s">
        <v>47</v>
      </c>
      <c r="C159" s="61" t="s">
        <v>11</v>
      </c>
      <c r="D159" s="61">
        <v>14</v>
      </c>
      <c r="E159" s="61" t="s">
        <v>32</v>
      </c>
      <c r="F159" s="61" t="s">
        <v>18</v>
      </c>
      <c r="G159" s="61" t="s">
        <v>16</v>
      </c>
      <c r="H159" s="61">
        <v>11260</v>
      </c>
      <c r="I159" s="61" t="s">
        <v>35</v>
      </c>
      <c r="J159" s="18" t="s">
        <v>353</v>
      </c>
      <c r="K159" s="18">
        <v>1</v>
      </c>
      <c r="L159" s="18"/>
      <c r="M159" s="81">
        <v>97200</v>
      </c>
      <c r="N159" s="94">
        <v>0</v>
      </c>
      <c r="O159" s="91">
        <v>97200</v>
      </c>
      <c r="P159" s="74">
        <f t="shared" si="61"/>
        <v>100</v>
      </c>
    </row>
    <row r="160" spans="1:22" s="20" customFormat="1" ht="42" hidden="1" customHeight="1" x14ac:dyDescent="0.2">
      <c r="A160" s="48" t="s">
        <v>191</v>
      </c>
      <c r="B160" s="61"/>
      <c r="C160" s="61"/>
      <c r="D160" s="61"/>
      <c r="E160" s="61"/>
      <c r="F160" s="61"/>
      <c r="G160" s="61"/>
      <c r="H160" s="61"/>
      <c r="I160" s="61"/>
      <c r="J160" s="19"/>
      <c r="K160" s="19"/>
      <c r="L160" s="18"/>
      <c r="M160" s="81">
        <v>97200</v>
      </c>
      <c r="N160" s="94">
        <v>0</v>
      </c>
      <c r="O160" s="91">
        <v>97200</v>
      </c>
      <c r="P160" s="74">
        <f t="shared" si="61"/>
        <v>100</v>
      </c>
    </row>
    <row r="161" spans="1:22" s="20" customFormat="1" ht="12.75" hidden="1" customHeight="1" x14ac:dyDescent="0.2">
      <c r="A161" s="50" t="s">
        <v>67</v>
      </c>
      <c r="B161" s="61"/>
      <c r="C161" s="61"/>
      <c r="D161" s="61"/>
      <c r="E161" s="61"/>
      <c r="F161" s="61"/>
      <c r="G161" s="61"/>
      <c r="H161" s="61"/>
      <c r="I161" s="61"/>
      <c r="J161" s="18"/>
      <c r="K161" s="18"/>
      <c r="L161" s="18"/>
      <c r="M161" s="82">
        <f>M162+M163+M165</f>
        <v>5335146.24</v>
      </c>
      <c r="N161" s="82">
        <f t="shared" ref="N161:O161" si="71">N162+N163+N165</f>
        <v>4935146.24</v>
      </c>
      <c r="O161" s="82">
        <f t="shared" si="71"/>
        <v>5335146.24</v>
      </c>
      <c r="P161" s="75">
        <f t="shared" si="61"/>
        <v>100</v>
      </c>
    </row>
    <row r="162" spans="1:22" s="20" customFormat="1" ht="39" hidden="1" customHeight="1" x14ac:dyDescent="0.2">
      <c r="A162" s="46" t="s">
        <v>325</v>
      </c>
      <c r="B162" s="61" t="s">
        <v>47</v>
      </c>
      <c r="C162" s="61" t="s">
        <v>11</v>
      </c>
      <c r="D162" s="61">
        <v>14</v>
      </c>
      <c r="E162" s="61" t="s">
        <v>32</v>
      </c>
      <c r="F162" s="61" t="s">
        <v>18</v>
      </c>
      <c r="G162" s="61" t="s">
        <v>16</v>
      </c>
      <c r="H162" s="61">
        <v>11260</v>
      </c>
      <c r="I162" s="61" t="s">
        <v>35</v>
      </c>
      <c r="J162" s="19" t="s">
        <v>113</v>
      </c>
      <c r="K162" s="19" t="s">
        <v>215</v>
      </c>
      <c r="L162" s="18">
        <v>2016</v>
      </c>
      <c r="M162" s="81">
        <f>391300+2500000-51132-301736.76</f>
        <v>2538431.2400000002</v>
      </c>
      <c r="N162" s="94">
        <f>O162</f>
        <v>2538431.2400000002</v>
      </c>
      <c r="O162" s="92">
        <v>2538431.2400000002</v>
      </c>
      <c r="P162" s="74">
        <f t="shared" si="61"/>
        <v>100</v>
      </c>
    </row>
    <row r="163" spans="1:22" s="20" customFormat="1" ht="27" hidden="1" customHeight="1" x14ac:dyDescent="0.2">
      <c r="A163" s="46" t="s">
        <v>317</v>
      </c>
      <c r="B163" s="61" t="s">
        <v>47</v>
      </c>
      <c r="C163" s="61" t="s">
        <v>11</v>
      </c>
      <c r="D163" s="61">
        <v>14</v>
      </c>
      <c r="E163" s="61" t="s">
        <v>32</v>
      </c>
      <c r="F163" s="61" t="s">
        <v>18</v>
      </c>
      <c r="G163" s="61" t="s">
        <v>16</v>
      </c>
      <c r="H163" s="61">
        <v>11260</v>
      </c>
      <c r="I163" s="61" t="s">
        <v>35</v>
      </c>
      <c r="J163" s="19" t="s">
        <v>113</v>
      </c>
      <c r="K163" s="19" t="s">
        <v>114</v>
      </c>
      <c r="L163" s="18">
        <v>2017</v>
      </c>
      <c r="M163" s="81">
        <f>1645300-26759+800000</f>
        <v>2418541</v>
      </c>
      <c r="N163" s="94">
        <f>O163-O164</f>
        <v>2018541</v>
      </c>
      <c r="O163" s="89">
        <v>2418541</v>
      </c>
      <c r="P163" s="74">
        <f t="shared" si="61"/>
        <v>100</v>
      </c>
    </row>
    <row r="164" spans="1:22" s="20" customFormat="1" ht="36.75" hidden="1" customHeight="1" x14ac:dyDescent="0.2">
      <c r="A164" s="48" t="s">
        <v>191</v>
      </c>
      <c r="B164" s="61"/>
      <c r="C164" s="61"/>
      <c r="D164" s="61"/>
      <c r="E164" s="61"/>
      <c r="F164" s="61"/>
      <c r="G164" s="61"/>
      <c r="H164" s="61"/>
      <c r="I164" s="61"/>
      <c r="J164" s="19"/>
      <c r="K164" s="19"/>
      <c r="L164" s="18"/>
      <c r="M164" s="81">
        <v>400000</v>
      </c>
      <c r="N164" s="94">
        <v>0</v>
      </c>
      <c r="O164" s="89">
        <v>400000</v>
      </c>
      <c r="P164" s="74">
        <f t="shared" si="61"/>
        <v>100</v>
      </c>
    </row>
    <row r="165" spans="1:22" s="11" customFormat="1" ht="24" hidden="1" customHeight="1" x14ac:dyDescent="0.2">
      <c r="A165" s="47" t="s">
        <v>151</v>
      </c>
      <c r="B165" s="57" t="s">
        <v>47</v>
      </c>
      <c r="C165" s="57">
        <v>2</v>
      </c>
      <c r="D165" s="57">
        <v>14</v>
      </c>
      <c r="E165" s="57" t="s">
        <v>32</v>
      </c>
      <c r="F165" s="57" t="s">
        <v>18</v>
      </c>
      <c r="G165" s="57" t="s">
        <v>16</v>
      </c>
      <c r="H165" s="57">
        <v>11260</v>
      </c>
      <c r="I165" s="57" t="s">
        <v>35</v>
      </c>
      <c r="J165" s="19" t="s">
        <v>113</v>
      </c>
      <c r="K165" s="19" t="s">
        <v>216</v>
      </c>
      <c r="L165" s="18"/>
      <c r="M165" s="83">
        <f>156500+130000+91674</f>
        <v>378174</v>
      </c>
      <c r="N165" s="94">
        <f>O165</f>
        <v>378174</v>
      </c>
      <c r="O165" s="89">
        <v>378174</v>
      </c>
      <c r="P165" s="74">
        <f t="shared" si="61"/>
        <v>100</v>
      </c>
      <c r="Q165" s="20"/>
      <c r="R165" s="20"/>
      <c r="S165" s="20"/>
      <c r="T165" s="20"/>
      <c r="U165" s="20"/>
      <c r="V165" s="20"/>
    </row>
    <row r="166" spans="1:22" s="20" customFormat="1" ht="42" hidden="1" customHeight="1" x14ac:dyDescent="0.2">
      <c r="A166" s="53" t="s">
        <v>209</v>
      </c>
      <c r="B166" s="58" t="s">
        <v>47</v>
      </c>
      <c r="C166" s="58" t="s">
        <v>11</v>
      </c>
      <c r="D166" s="58">
        <v>14</v>
      </c>
      <c r="E166" s="58" t="s">
        <v>32</v>
      </c>
      <c r="F166" s="58" t="s">
        <v>18</v>
      </c>
      <c r="G166" s="58" t="s">
        <v>16</v>
      </c>
      <c r="H166" s="58">
        <v>11260</v>
      </c>
      <c r="I166" s="58" t="s">
        <v>35</v>
      </c>
      <c r="J166" s="19"/>
      <c r="K166" s="19"/>
      <c r="L166" s="18"/>
      <c r="M166" s="82">
        <f>M167+M170</f>
        <v>284944</v>
      </c>
      <c r="N166" s="82">
        <f t="shared" ref="N166:O166" si="72">N167+N170</f>
        <v>0</v>
      </c>
      <c r="O166" s="82">
        <f t="shared" si="72"/>
        <v>284944</v>
      </c>
      <c r="P166" s="75">
        <f t="shared" si="61"/>
        <v>100</v>
      </c>
    </row>
    <row r="167" spans="1:22" s="20" customFormat="1" ht="12.75" hidden="1" customHeight="1" x14ac:dyDescent="0.2">
      <c r="A167" s="53" t="s">
        <v>75</v>
      </c>
      <c r="B167" s="61"/>
      <c r="C167" s="61"/>
      <c r="D167" s="61"/>
      <c r="E167" s="61"/>
      <c r="F167" s="61"/>
      <c r="G167" s="61"/>
      <c r="H167" s="61"/>
      <c r="I167" s="61"/>
      <c r="J167" s="19"/>
      <c r="K167" s="19"/>
      <c r="L167" s="18"/>
      <c r="M167" s="82">
        <f>M168</f>
        <v>26759</v>
      </c>
      <c r="N167" s="82">
        <f t="shared" ref="N167:O167" si="73">N168</f>
        <v>0</v>
      </c>
      <c r="O167" s="82">
        <f t="shared" si="73"/>
        <v>26759</v>
      </c>
      <c r="P167" s="75">
        <f t="shared" si="61"/>
        <v>100</v>
      </c>
    </row>
    <row r="168" spans="1:22" s="20" customFormat="1" ht="37.5" hidden="1" customHeight="1" x14ac:dyDescent="0.2">
      <c r="A168" s="47" t="s">
        <v>318</v>
      </c>
      <c r="B168" s="61" t="s">
        <v>47</v>
      </c>
      <c r="C168" s="61" t="s">
        <v>11</v>
      </c>
      <c r="D168" s="61">
        <v>14</v>
      </c>
      <c r="E168" s="61" t="s">
        <v>32</v>
      </c>
      <c r="F168" s="61" t="s">
        <v>18</v>
      </c>
      <c r="G168" s="61" t="s">
        <v>16</v>
      </c>
      <c r="H168" s="61">
        <v>11260</v>
      </c>
      <c r="I168" s="61" t="s">
        <v>35</v>
      </c>
      <c r="J168" s="19"/>
      <c r="K168" s="19"/>
      <c r="L168" s="18"/>
      <c r="M168" s="81">
        <v>26759</v>
      </c>
      <c r="N168" s="94">
        <v>0</v>
      </c>
      <c r="O168" s="93">
        <v>26759</v>
      </c>
      <c r="P168" s="74">
        <f t="shared" si="61"/>
        <v>100</v>
      </c>
    </row>
    <row r="169" spans="1:22" s="20" customFormat="1" ht="36" hidden="1" customHeight="1" x14ac:dyDescent="0.2">
      <c r="A169" s="48" t="s">
        <v>191</v>
      </c>
      <c r="B169" s="61"/>
      <c r="C169" s="61"/>
      <c r="D169" s="61"/>
      <c r="E169" s="61"/>
      <c r="F169" s="61"/>
      <c r="G169" s="61"/>
      <c r="H169" s="61"/>
      <c r="I169" s="61"/>
      <c r="J169" s="19"/>
      <c r="K169" s="19"/>
      <c r="L169" s="18"/>
      <c r="M169" s="81">
        <v>26759</v>
      </c>
      <c r="N169" s="94">
        <v>0</v>
      </c>
      <c r="O169" s="93">
        <v>26759</v>
      </c>
      <c r="P169" s="74">
        <f t="shared" si="61"/>
        <v>100</v>
      </c>
    </row>
    <row r="170" spans="1:22" s="20" customFormat="1" ht="17.25" hidden="1" customHeight="1" x14ac:dyDescent="0.2">
      <c r="A170" s="53" t="s">
        <v>67</v>
      </c>
      <c r="B170" s="61"/>
      <c r="C170" s="61"/>
      <c r="D170" s="61"/>
      <c r="E170" s="61"/>
      <c r="F170" s="61"/>
      <c r="G170" s="61"/>
      <c r="H170" s="61"/>
      <c r="I170" s="61"/>
      <c r="J170" s="19"/>
      <c r="K170" s="19"/>
      <c r="L170" s="18"/>
      <c r="M170" s="82">
        <f>M171</f>
        <v>258185</v>
      </c>
      <c r="N170" s="82">
        <f t="shared" ref="N170:O170" si="74">N171</f>
        <v>0</v>
      </c>
      <c r="O170" s="82">
        <f t="shared" si="74"/>
        <v>258185</v>
      </c>
      <c r="P170" s="75">
        <f t="shared" si="61"/>
        <v>100</v>
      </c>
    </row>
    <row r="171" spans="1:22" s="20" customFormat="1" ht="20.25" hidden="1" customHeight="1" x14ac:dyDescent="0.2">
      <c r="A171" s="47" t="s">
        <v>319</v>
      </c>
      <c r="B171" s="61" t="s">
        <v>47</v>
      </c>
      <c r="C171" s="61" t="s">
        <v>11</v>
      </c>
      <c r="D171" s="61">
        <v>14</v>
      </c>
      <c r="E171" s="61" t="s">
        <v>32</v>
      </c>
      <c r="F171" s="61" t="s">
        <v>18</v>
      </c>
      <c r="G171" s="61" t="s">
        <v>16</v>
      </c>
      <c r="H171" s="61">
        <v>11260</v>
      </c>
      <c r="I171" s="61" t="s">
        <v>35</v>
      </c>
      <c r="J171" s="19"/>
      <c r="K171" s="19"/>
      <c r="L171" s="18"/>
      <c r="M171" s="81">
        <v>258185</v>
      </c>
      <c r="N171" s="94">
        <v>0</v>
      </c>
      <c r="O171" s="93">
        <v>258185</v>
      </c>
      <c r="P171" s="74">
        <f t="shared" si="61"/>
        <v>100</v>
      </c>
    </row>
    <row r="172" spans="1:22" s="20" customFormat="1" ht="37.5" hidden="1" customHeight="1" x14ac:dyDescent="0.2">
      <c r="A172" s="48" t="s">
        <v>191</v>
      </c>
      <c r="B172" s="61"/>
      <c r="C172" s="61"/>
      <c r="D172" s="61"/>
      <c r="E172" s="61"/>
      <c r="F172" s="61"/>
      <c r="G172" s="61"/>
      <c r="H172" s="61"/>
      <c r="I172" s="61"/>
      <c r="J172" s="19"/>
      <c r="K172" s="19"/>
      <c r="L172" s="18"/>
      <c r="M172" s="81">
        <v>258185</v>
      </c>
      <c r="N172" s="94">
        <v>0</v>
      </c>
      <c r="O172" s="93">
        <v>258185</v>
      </c>
      <c r="P172" s="74">
        <f t="shared" si="61"/>
        <v>100</v>
      </c>
    </row>
    <row r="173" spans="1:22" ht="24" hidden="1" customHeight="1" x14ac:dyDescent="0.2">
      <c r="A173" s="43" t="s">
        <v>50</v>
      </c>
      <c r="B173" s="58" t="s">
        <v>47</v>
      </c>
      <c r="C173" s="58" t="s">
        <v>12</v>
      </c>
      <c r="D173" s="58"/>
      <c r="E173" s="57" t="s">
        <v>0</v>
      </c>
      <c r="F173" s="57" t="s">
        <v>0</v>
      </c>
      <c r="G173" s="57" t="s">
        <v>0</v>
      </c>
      <c r="H173" s="57" t="s">
        <v>0</v>
      </c>
      <c r="I173" s="57" t="s">
        <v>0</v>
      </c>
      <c r="J173" s="5"/>
      <c r="K173" s="5"/>
      <c r="L173" s="5"/>
      <c r="M173" s="79">
        <f>M175</f>
        <v>116199293.44</v>
      </c>
      <c r="N173" s="79">
        <f t="shared" ref="N173:O173" si="75">N175</f>
        <v>95122185.489999995</v>
      </c>
      <c r="O173" s="79">
        <f t="shared" si="75"/>
        <v>100604800.72999999</v>
      </c>
      <c r="P173" s="75">
        <f t="shared" si="61"/>
        <v>86.57952880061849</v>
      </c>
      <c r="Q173" s="20"/>
      <c r="R173" s="20"/>
      <c r="S173" s="20"/>
      <c r="T173" s="20"/>
      <c r="U173" s="20"/>
      <c r="V173" s="20"/>
    </row>
    <row r="174" spans="1:22" s="12" customFormat="1" ht="60" hidden="1" customHeight="1" x14ac:dyDescent="0.2">
      <c r="A174" s="43" t="s">
        <v>182</v>
      </c>
      <c r="B174" s="58" t="s">
        <v>47</v>
      </c>
      <c r="C174" s="58" t="s">
        <v>12</v>
      </c>
      <c r="D174" s="58">
        <v>21</v>
      </c>
      <c r="E174" s="57"/>
      <c r="F174" s="57"/>
      <c r="G174" s="57"/>
      <c r="H174" s="57"/>
      <c r="I174" s="57"/>
      <c r="J174" s="5"/>
      <c r="K174" s="5"/>
      <c r="L174" s="5"/>
      <c r="M174" s="79">
        <f>M175</f>
        <v>116199293.44</v>
      </c>
      <c r="N174" s="79">
        <f t="shared" ref="N174:O177" si="76">N175</f>
        <v>95122185.489999995</v>
      </c>
      <c r="O174" s="79">
        <f t="shared" si="76"/>
        <v>100604800.72999999</v>
      </c>
      <c r="P174" s="75">
        <f t="shared" si="61"/>
        <v>86.57952880061849</v>
      </c>
      <c r="Q174" s="20"/>
      <c r="R174" s="20"/>
      <c r="S174" s="20"/>
      <c r="T174" s="20"/>
      <c r="U174" s="20"/>
      <c r="V174" s="20"/>
    </row>
    <row r="175" spans="1:22" ht="24" hidden="1" customHeight="1" x14ac:dyDescent="0.2">
      <c r="A175" s="43" t="s">
        <v>31</v>
      </c>
      <c r="B175" s="58" t="s">
        <v>47</v>
      </c>
      <c r="C175" s="58" t="s">
        <v>12</v>
      </c>
      <c r="D175" s="58">
        <v>21</v>
      </c>
      <c r="E175" s="58" t="s">
        <v>32</v>
      </c>
      <c r="F175" s="57"/>
      <c r="G175" s="57"/>
      <c r="H175" s="57"/>
      <c r="I175" s="57"/>
      <c r="J175" s="5"/>
      <c r="K175" s="5"/>
      <c r="L175" s="5"/>
      <c r="M175" s="79">
        <f>M176</f>
        <v>116199293.44</v>
      </c>
      <c r="N175" s="79">
        <f t="shared" si="76"/>
        <v>95122185.489999995</v>
      </c>
      <c r="O175" s="79">
        <f t="shared" si="76"/>
        <v>100604800.72999999</v>
      </c>
      <c r="P175" s="75">
        <f t="shared" si="61"/>
        <v>86.57952880061849</v>
      </c>
      <c r="Q175" s="20"/>
      <c r="R175" s="20"/>
      <c r="S175" s="20"/>
      <c r="T175" s="20"/>
      <c r="U175" s="20"/>
      <c r="V175" s="20"/>
    </row>
    <row r="176" spans="1:22" ht="39.75" hidden="1" customHeight="1" x14ac:dyDescent="0.2">
      <c r="A176" s="43" t="s">
        <v>77</v>
      </c>
      <c r="B176" s="58" t="s">
        <v>47</v>
      </c>
      <c r="C176" s="58" t="s">
        <v>12</v>
      </c>
      <c r="D176" s="58">
        <v>21</v>
      </c>
      <c r="E176" s="58" t="s">
        <v>32</v>
      </c>
      <c r="F176" s="57"/>
      <c r="G176" s="57"/>
      <c r="H176" s="57"/>
      <c r="I176" s="57"/>
      <c r="J176" s="5"/>
      <c r="K176" s="5"/>
      <c r="L176" s="5"/>
      <c r="M176" s="79">
        <f>M177</f>
        <v>116199293.44</v>
      </c>
      <c r="N176" s="79">
        <f t="shared" si="76"/>
        <v>95122185.489999995</v>
      </c>
      <c r="O176" s="79">
        <f t="shared" si="76"/>
        <v>100604800.72999999</v>
      </c>
      <c r="P176" s="75">
        <f t="shared" si="61"/>
        <v>86.57952880061849</v>
      </c>
      <c r="Q176" s="20"/>
      <c r="R176" s="20"/>
      <c r="S176" s="20"/>
      <c r="T176" s="20"/>
      <c r="U176" s="20"/>
      <c r="V176" s="20"/>
    </row>
    <row r="177" spans="1:22" ht="12.75" hidden="1" customHeight="1" x14ac:dyDescent="0.2">
      <c r="A177" s="43" t="s">
        <v>19</v>
      </c>
      <c r="B177" s="58" t="s">
        <v>47</v>
      </c>
      <c r="C177" s="58" t="s">
        <v>12</v>
      </c>
      <c r="D177" s="58">
        <v>21</v>
      </c>
      <c r="E177" s="58" t="s">
        <v>32</v>
      </c>
      <c r="F177" s="58" t="s">
        <v>17</v>
      </c>
      <c r="G177" s="58" t="s">
        <v>0</v>
      </c>
      <c r="H177" s="58" t="s">
        <v>0</v>
      </c>
      <c r="I177" s="58" t="s">
        <v>0</v>
      </c>
      <c r="J177" s="7"/>
      <c r="K177" s="7"/>
      <c r="L177" s="7"/>
      <c r="M177" s="79">
        <f>M178</f>
        <v>116199293.44</v>
      </c>
      <c r="N177" s="79">
        <f t="shared" si="76"/>
        <v>95122185.489999995</v>
      </c>
      <c r="O177" s="79">
        <f t="shared" si="76"/>
        <v>100604800.72999999</v>
      </c>
      <c r="P177" s="75">
        <f t="shared" si="61"/>
        <v>86.57952880061849</v>
      </c>
      <c r="Q177" s="20"/>
      <c r="R177" s="20"/>
      <c r="S177" s="20"/>
      <c r="T177" s="20"/>
      <c r="U177" s="20"/>
      <c r="V177" s="20"/>
    </row>
    <row r="178" spans="1:22" ht="24" hidden="1" customHeight="1" x14ac:dyDescent="0.2">
      <c r="A178" s="43" t="s">
        <v>51</v>
      </c>
      <c r="B178" s="58" t="s">
        <v>47</v>
      </c>
      <c r="C178" s="58" t="s">
        <v>12</v>
      </c>
      <c r="D178" s="58">
        <v>21</v>
      </c>
      <c r="E178" s="58" t="s">
        <v>32</v>
      </c>
      <c r="F178" s="58" t="s">
        <v>17</v>
      </c>
      <c r="G178" s="58" t="s">
        <v>23</v>
      </c>
      <c r="H178" s="58" t="s">
        <v>0</v>
      </c>
      <c r="I178" s="58" t="s">
        <v>0</v>
      </c>
      <c r="J178" s="7"/>
      <c r="K178" s="7"/>
      <c r="L178" s="7"/>
      <c r="M178" s="79">
        <f>M179+M180</f>
        <v>116199293.44</v>
      </c>
      <c r="N178" s="79">
        <f t="shared" ref="N178:O178" si="77">N179+N180</f>
        <v>95122185.489999995</v>
      </c>
      <c r="O178" s="79">
        <f t="shared" si="77"/>
        <v>100604800.72999999</v>
      </c>
      <c r="P178" s="75">
        <f t="shared" si="61"/>
        <v>86.57952880061849</v>
      </c>
      <c r="Q178" s="20"/>
      <c r="R178" s="20"/>
      <c r="S178" s="20"/>
      <c r="T178" s="20"/>
      <c r="U178" s="20"/>
      <c r="V178" s="20"/>
    </row>
    <row r="179" spans="1:22" ht="36.75" hidden="1" customHeight="1" x14ac:dyDescent="0.2">
      <c r="A179" s="43" t="s">
        <v>52</v>
      </c>
      <c r="B179" s="58" t="s">
        <v>47</v>
      </c>
      <c r="C179" s="58" t="s">
        <v>12</v>
      </c>
      <c r="D179" s="58">
        <v>21</v>
      </c>
      <c r="E179" s="58" t="s">
        <v>32</v>
      </c>
      <c r="F179" s="58" t="s">
        <v>17</v>
      </c>
      <c r="G179" s="58" t="s">
        <v>23</v>
      </c>
      <c r="H179" s="58">
        <v>16140</v>
      </c>
      <c r="I179" s="58" t="s">
        <v>0</v>
      </c>
      <c r="J179" s="7"/>
      <c r="K179" s="7"/>
      <c r="L179" s="7"/>
      <c r="M179" s="79">
        <f>M181</f>
        <v>92239521</v>
      </c>
      <c r="N179" s="79">
        <f t="shared" ref="N179:O179" si="78">N181</f>
        <v>85905476</v>
      </c>
      <c r="O179" s="79">
        <f t="shared" si="78"/>
        <v>91388091.239999995</v>
      </c>
      <c r="P179" s="75">
        <f t="shared" si="61"/>
        <v>99.076936056508785</v>
      </c>
      <c r="Q179" s="20"/>
      <c r="R179" s="20"/>
      <c r="S179" s="20"/>
      <c r="T179" s="20"/>
      <c r="U179" s="20"/>
      <c r="V179" s="20"/>
    </row>
    <row r="180" spans="1:22" s="12" customFormat="1" ht="159" hidden="1" customHeight="1" x14ac:dyDescent="0.2">
      <c r="A180" s="43" t="s">
        <v>262</v>
      </c>
      <c r="B180" s="58" t="s">
        <v>47</v>
      </c>
      <c r="C180" s="58" t="s">
        <v>12</v>
      </c>
      <c r="D180" s="58">
        <v>21</v>
      </c>
      <c r="E180" s="58" t="s">
        <v>32</v>
      </c>
      <c r="F180" s="58" t="s">
        <v>17</v>
      </c>
      <c r="G180" s="58" t="s">
        <v>23</v>
      </c>
      <c r="H180" s="58" t="s">
        <v>257</v>
      </c>
      <c r="I180" s="58"/>
      <c r="J180" s="7"/>
      <c r="K180" s="7"/>
      <c r="L180" s="7"/>
      <c r="M180" s="79">
        <f>M182</f>
        <v>23959772.439999998</v>
      </c>
      <c r="N180" s="79">
        <f t="shared" ref="N180:O180" si="79">N182</f>
        <v>9216709.4900000002</v>
      </c>
      <c r="O180" s="79">
        <f t="shared" si="79"/>
        <v>9216709.4900000002</v>
      </c>
      <c r="P180" s="75">
        <f t="shared" si="61"/>
        <v>38.467433332601395</v>
      </c>
      <c r="Q180" s="20"/>
      <c r="R180" s="20"/>
      <c r="S180" s="20"/>
      <c r="T180" s="20"/>
      <c r="U180" s="20"/>
      <c r="V180" s="20"/>
    </row>
    <row r="181" spans="1:22" ht="21.75" hidden="1" customHeight="1" x14ac:dyDescent="0.2">
      <c r="A181" s="227" t="s">
        <v>34</v>
      </c>
      <c r="B181" s="58" t="s">
        <v>47</v>
      </c>
      <c r="C181" s="58" t="s">
        <v>12</v>
      </c>
      <c r="D181" s="58">
        <v>21</v>
      </c>
      <c r="E181" s="58" t="s">
        <v>32</v>
      </c>
      <c r="F181" s="58" t="s">
        <v>17</v>
      </c>
      <c r="G181" s="58" t="s">
        <v>23</v>
      </c>
      <c r="H181" s="58">
        <v>16140</v>
      </c>
      <c r="I181" s="58" t="s">
        <v>35</v>
      </c>
      <c r="J181" s="7"/>
      <c r="K181" s="7"/>
      <c r="L181" s="7"/>
      <c r="M181" s="79">
        <f>M184+M186+M188+M191+M193+M194+M197+M199+M202+M204+M206+M208+M211+M213+M217+M220</f>
        <v>92239521</v>
      </c>
      <c r="N181" s="79">
        <f t="shared" ref="N181:O181" si="80">N184+N186+N188+N191+N193+N194+N197+N199+N202+N204+N206+N208+N211+N213+N217+N220</f>
        <v>85905476</v>
      </c>
      <c r="O181" s="79">
        <f t="shared" si="80"/>
        <v>91388091.239999995</v>
      </c>
      <c r="P181" s="75">
        <f t="shared" si="61"/>
        <v>99.076936056508785</v>
      </c>
      <c r="Q181" s="20"/>
      <c r="R181" s="20"/>
      <c r="S181" s="20"/>
      <c r="T181" s="20"/>
      <c r="U181" s="20"/>
      <c r="V181" s="20"/>
    </row>
    <row r="182" spans="1:22" s="12" customFormat="1" ht="27.75" hidden="1" customHeight="1" x14ac:dyDescent="0.2">
      <c r="A182" s="227"/>
      <c r="B182" s="58" t="s">
        <v>47</v>
      </c>
      <c r="C182" s="58" t="s">
        <v>12</v>
      </c>
      <c r="D182" s="58">
        <v>21</v>
      </c>
      <c r="E182" s="58" t="s">
        <v>32</v>
      </c>
      <c r="F182" s="58" t="s">
        <v>17</v>
      </c>
      <c r="G182" s="58" t="s">
        <v>23</v>
      </c>
      <c r="H182" s="58" t="s">
        <v>257</v>
      </c>
      <c r="I182" s="58" t="s">
        <v>35</v>
      </c>
      <c r="J182" s="7"/>
      <c r="K182" s="7"/>
      <c r="L182" s="7"/>
      <c r="M182" s="79">
        <f>M216+M190</f>
        <v>23959772.439999998</v>
      </c>
      <c r="N182" s="79">
        <f t="shared" ref="N182:O182" si="81">N216+N190</f>
        <v>9216709.4900000002</v>
      </c>
      <c r="O182" s="79">
        <f t="shared" si="81"/>
        <v>9216709.4900000002</v>
      </c>
      <c r="P182" s="75">
        <f t="shared" si="61"/>
        <v>38.467433332601395</v>
      </c>
      <c r="Q182" s="20"/>
      <c r="R182" s="20"/>
      <c r="S182" s="20"/>
      <c r="T182" s="20"/>
      <c r="U182" s="20"/>
      <c r="V182" s="20"/>
    </row>
    <row r="183" spans="1:22" ht="12.75" hidden="1" customHeight="1" x14ac:dyDescent="0.2">
      <c r="A183" s="43" t="s">
        <v>95</v>
      </c>
      <c r="B183" s="58"/>
      <c r="C183" s="58"/>
      <c r="D183" s="58"/>
      <c r="E183" s="58"/>
      <c r="F183" s="58"/>
      <c r="G183" s="58"/>
      <c r="H183" s="58"/>
      <c r="I183" s="58"/>
      <c r="J183" s="7"/>
      <c r="K183" s="7"/>
      <c r="L183" s="7"/>
      <c r="M183" s="86">
        <f>M184</f>
        <v>12971458.42</v>
      </c>
      <c r="N183" s="86">
        <f t="shared" ref="N183:O183" si="82">N184</f>
        <v>12965957.66</v>
      </c>
      <c r="O183" s="86">
        <f t="shared" si="82"/>
        <v>12965957.66</v>
      </c>
      <c r="P183" s="75">
        <f t="shared" si="61"/>
        <v>99.957593357493877</v>
      </c>
      <c r="Q183" s="20"/>
      <c r="R183" s="20"/>
      <c r="S183" s="20"/>
      <c r="T183" s="20"/>
      <c r="U183" s="20"/>
      <c r="V183" s="20"/>
    </row>
    <row r="184" spans="1:22" ht="50.25" hidden="1" customHeight="1" x14ac:dyDescent="0.2">
      <c r="A184" s="46" t="s">
        <v>315</v>
      </c>
      <c r="B184" s="57" t="s">
        <v>47</v>
      </c>
      <c r="C184" s="57" t="s">
        <v>12</v>
      </c>
      <c r="D184" s="57">
        <v>21</v>
      </c>
      <c r="E184" s="57" t="s">
        <v>32</v>
      </c>
      <c r="F184" s="57" t="s">
        <v>17</v>
      </c>
      <c r="G184" s="57" t="s">
        <v>23</v>
      </c>
      <c r="H184" s="57">
        <v>16140</v>
      </c>
      <c r="I184" s="57" t="s">
        <v>35</v>
      </c>
      <c r="J184" s="4" t="s">
        <v>68</v>
      </c>
      <c r="K184" s="4">
        <v>5.19</v>
      </c>
      <c r="L184" s="18">
        <v>2016</v>
      </c>
      <c r="M184" s="87">
        <f>13033544+1000000-778188-286398+2500.42</f>
        <v>12971458.42</v>
      </c>
      <c r="N184" s="94">
        <f>O184</f>
        <v>12965957.66</v>
      </c>
      <c r="O184" s="89">
        <v>12965957.66</v>
      </c>
      <c r="P184" s="74">
        <f t="shared" si="61"/>
        <v>99.957593357493877</v>
      </c>
      <c r="Q184" s="20"/>
      <c r="R184" s="20"/>
      <c r="S184" s="20"/>
      <c r="T184" s="20"/>
      <c r="U184" s="20"/>
      <c r="V184" s="20"/>
    </row>
    <row r="185" spans="1:22" s="12" customFormat="1" ht="12.75" hidden="1" customHeight="1" x14ac:dyDescent="0.2">
      <c r="A185" s="54" t="s">
        <v>66</v>
      </c>
      <c r="B185" s="57"/>
      <c r="C185" s="57"/>
      <c r="D185" s="57"/>
      <c r="E185" s="57"/>
      <c r="F185" s="57"/>
      <c r="G185" s="57"/>
      <c r="H185" s="57"/>
      <c r="I185" s="57"/>
      <c r="J185" s="4"/>
      <c r="K185" s="4"/>
      <c r="L185" s="18"/>
      <c r="M185" s="88">
        <f>M186+M188</f>
        <v>35547871.890000001</v>
      </c>
      <c r="N185" s="88">
        <f t="shared" ref="N185:O185" si="83">N186+N188</f>
        <v>35348616.890000001</v>
      </c>
      <c r="O185" s="88">
        <f t="shared" si="83"/>
        <v>35525187.890000001</v>
      </c>
      <c r="P185" s="75">
        <f t="shared" si="61"/>
        <v>99.936187459912659</v>
      </c>
      <c r="Q185" s="20"/>
      <c r="R185" s="20"/>
      <c r="S185" s="20"/>
      <c r="T185" s="20"/>
      <c r="U185" s="20"/>
      <c r="V185" s="20"/>
    </row>
    <row r="186" spans="1:22" s="12" customFormat="1" ht="39" hidden="1" customHeight="1" x14ac:dyDescent="0.2">
      <c r="A186" s="42" t="s">
        <v>166</v>
      </c>
      <c r="B186" s="57" t="s">
        <v>47</v>
      </c>
      <c r="C186" s="57" t="s">
        <v>12</v>
      </c>
      <c r="D186" s="57">
        <v>21</v>
      </c>
      <c r="E186" s="57" t="s">
        <v>32</v>
      </c>
      <c r="F186" s="57" t="s">
        <v>17</v>
      </c>
      <c r="G186" s="57" t="s">
        <v>23</v>
      </c>
      <c r="H186" s="57">
        <v>16140</v>
      </c>
      <c r="I186" s="57" t="s">
        <v>35</v>
      </c>
      <c r="J186" s="4" t="s">
        <v>68</v>
      </c>
      <c r="K186" s="4">
        <v>4.1310000000000002</v>
      </c>
      <c r="L186" s="18">
        <v>2016</v>
      </c>
      <c r="M186" s="87">
        <f>35221300.89-123429</f>
        <v>35097871.890000001</v>
      </c>
      <c r="N186" s="94">
        <f>O186-O187</f>
        <v>34921300.890000001</v>
      </c>
      <c r="O186" s="89">
        <v>35097871.890000001</v>
      </c>
      <c r="P186" s="74">
        <f t="shared" si="61"/>
        <v>100</v>
      </c>
      <c r="Q186" s="20"/>
      <c r="R186" s="20"/>
      <c r="S186" s="20"/>
      <c r="T186" s="20"/>
      <c r="U186" s="20"/>
      <c r="V186" s="20"/>
    </row>
    <row r="187" spans="1:22" s="20" customFormat="1" ht="37.5" hidden="1" customHeight="1" x14ac:dyDescent="0.2">
      <c r="A187" s="48" t="s">
        <v>191</v>
      </c>
      <c r="B187" s="57"/>
      <c r="C187" s="57"/>
      <c r="D187" s="57"/>
      <c r="E187" s="57"/>
      <c r="F187" s="57"/>
      <c r="G187" s="57"/>
      <c r="H187" s="57"/>
      <c r="I187" s="57"/>
      <c r="J187" s="5"/>
      <c r="K187" s="5"/>
      <c r="L187" s="18"/>
      <c r="M187" s="87">
        <v>176571</v>
      </c>
      <c r="N187" s="94">
        <v>0</v>
      </c>
      <c r="O187" s="89">
        <v>176571</v>
      </c>
      <c r="P187" s="74">
        <f t="shared" si="61"/>
        <v>100</v>
      </c>
    </row>
    <row r="188" spans="1:22" s="20" customFormat="1" ht="36.75" hidden="1" customHeight="1" x14ac:dyDescent="0.2">
      <c r="A188" s="42" t="s">
        <v>373</v>
      </c>
      <c r="B188" s="57" t="s">
        <v>47</v>
      </c>
      <c r="C188" s="57" t="s">
        <v>12</v>
      </c>
      <c r="D188" s="57">
        <v>21</v>
      </c>
      <c r="E188" s="57" t="s">
        <v>32</v>
      </c>
      <c r="F188" s="57" t="s">
        <v>17</v>
      </c>
      <c r="G188" s="57" t="s">
        <v>23</v>
      </c>
      <c r="H188" s="57">
        <v>16140</v>
      </c>
      <c r="I188" s="57" t="s">
        <v>35</v>
      </c>
      <c r="J188" s="4" t="s">
        <v>68</v>
      </c>
      <c r="K188" s="60"/>
      <c r="L188" s="60"/>
      <c r="M188" s="80">
        <f>350000+100000</f>
        <v>450000</v>
      </c>
      <c r="N188" s="94">
        <f>O188</f>
        <v>427316</v>
      </c>
      <c r="O188" s="89">
        <v>427316</v>
      </c>
      <c r="P188" s="74">
        <f t="shared" si="61"/>
        <v>94.959111111111113</v>
      </c>
    </row>
    <row r="189" spans="1:22" s="12" customFormat="1" ht="14.25" hidden="1" customHeight="1" x14ac:dyDescent="0.2">
      <c r="A189" s="54" t="s">
        <v>82</v>
      </c>
      <c r="B189" s="57"/>
      <c r="C189" s="57"/>
      <c r="D189" s="57"/>
      <c r="E189" s="57"/>
      <c r="F189" s="57"/>
      <c r="G189" s="57"/>
      <c r="H189" s="57"/>
      <c r="I189" s="57"/>
      <c r="J189" s="4"/>
      <c r="K189" s="4"/>
      <c r="L189" s="18"/>
      <c r="M189" s="88">
        <f>M190+M191</f>
        <v>17332275</v>
      </c>
      <c r="N189" s="88">
        <f t="shared" ref="N189:O189" si="84">N190+N191</f>
        <v>2586421.34</v>
      </c>
      <c r="O189" s="88">
        <f t="shared" si="84"/>
        <v>2586421.34</v>
      </c>
      <c r="P189" s="75">
        <f t="shared" si="61"/>
        <v>14.922572714776333</v>
      </c>
      <c r="Q189" s="20"/>
      <c r="R189" s="20"/>
      <c r="S189" s="20"/>
      <c r="T189" s="20"/>
      <c r="U189" s="20"/>
      <c r="V189" s="20"/>
    </row>
    <row r="190" spans="1:22" s="12" customFormat="1" ht="60.75" hidden="1" customHeight="1" x14ac:dyDescent="0.2">
      <c r="A190" s="46" t="s">
        <v>228</v>
      </c>
      <c r="B190" s="57">
        <v>19</v>
      </c>
      <c r="C190" s="57">
        <v>3</v>
      </c>
      <c r="D190" s="57">
        <v>21</v>
      </c>
      <c r="E190" s="57">
        <v>819</v>
      </c>
      <c r="F190" s="57" t="s">
        <v>17</v>
      </c>
      <c r="G190" s="57" t="s">
        <v>23</v>
      </c>
      <c r="H190" s="57" t="s">
        <v>257</v>
      </c>
      <c r="I190" s="57" t="s">
        <v>35</v>
      </c>
      <c r="J190" s="4" t="s">
        <v>68</v>
      </c>
      <c r="K190" s="4">
        <v>0.42499999999999999</v>
      </c>
      <c r="L190" s="18">
        <v>2016</v>
      </c>
      <c r="M190" s="87">
        <f>16777778+295957</f>
        <v>17073735</v>
      </c>
      <c r="N190" s="94">
        <f>O190</f>
        <v>2330678.34</v>
      </c>
      <c r="O190" s="89">
        <v>2330678.34</v>
      </c>
      <c r="P190" s="74">
        <f t="shared" si="61"/>
        <v>13.650664836955709</v>
      </c>
      <c r="Q190" s="20"/>
      <c r="R190" s="20"/>
      <c r="S190" s="20"/>
      <c r="T190" s="20"/>
      <c r="U190" s="20"/>
      <c r="V190" s="20"/>
    </row>
    <row r="191" spans="1:22" s="12" customFormat="1" ht="39" hidden="1" customHeight="1" x14ac:dyDescent="0.2">
      <c r="A191" s="46" t="s">
        <v>194</v>
      </c>
      <c r="B191" s="57">
        <v>19</v>
      </c>
      <c r="C191" s="57">
        <v>3</v>
      </c>
      <c r="D191" s="57">
        <v>21</v>
      </c>
      <c r="E191" s="57">
        <v>819</v>
      </c>
      <c r="F191" s="57" t="s">
        <v>17</v>
      </c>
      <c r="G191" s="57" t="s">
        <v>23</v>
      </c>
      <c r="H191" s="57">
        <v>16140</v>
      </c>
      <c r="I191" s="57" t="s">
        <v>35</v>
      </c>
      <c r="J191" s="4"/>
      <c r="K191" s="4"/>
      <c r="L191" s="18"/>
      <c r="M191" s="87">
        <f>575000-316460</f>
        <v>258540</v>
      </c>
      <c r="N191" s="94">
        <f>O191</f>
        <v>255743</v>
      </c>
      <c r="O191" s="89">
        <v>255743</v>
      </c>
      <c r="P191" s="74">
        <f t="shared" si="61"/>
        <v>98.918155797942291</v>
      </c>
      <c r="Q191" s="20"/>
      <c r="R191" s="20"/>
      <c r="S191" s="20"/>
      <c r="T191" s="20"/>
      <c r="U191" s="20"/>
      <c r="V191" s="20"/>
    </row>
    <row r="192" spans="1:22" s="12" customFormat="1" ht="12.75" hidden="1" customHeight="1" x14ac:dyDescent="0.2">
      <c r="A192" s="54" t="s">
        <v>161</v>
      </c>
      <c r="B192" s="57"/>
      <c r="C192" s="57"/>
      <c r="D192" s="57"/>
      <c r="E192" s="57"/>
      <c r="F192" s="57"/>
      <c r="G192" s="57"/>
      <c r="H192" s="57"/>
      <c r="I192" s="57"/>
      <c r="J192" s="4"/>
      <c r="K192" s="4"/>
      <c r="L192" s="18"/>
      <c r="M192" s="88">
        <f>M194+M193</f>
        <v>1289883.08</v>
      </c>
      <c r="N192" s="88">
        <f t="shared" ref="N192:O192" si="85">N194+N193</f>
        <v>111200</v>
      </c>
      <c r="O192" s="88">
        <f t="shared" si="85"/>
        <v>893883.08</v>
      </c>
      <c r="P192" s="75">
        <f t="shared" si="61"/>
        <v>69.299543025248454</v>
      </c>
      <c r="Q192" s="20"/>
      <c r="R192" s="20"/>
      <c r="S192" s="20"/>
      <c r="T192" s="20"/>
      <c r="U192" s="20"/>
      <c r="V192" s="20"/>
    </row>
    <row r="193" spans="1:16" s="20" customFormat="1" ht="51.75" hidden="1" customHeight="1" x14ac:dyDescent="0.2">
      <c r="A193" s="46" t="s">
        <v>210</v>
      </c>
      <c r="B193" s="61" t="s">
        <v>47</v>
      </c>
      <c r="C193" s="61" t="s">
        <v>12</v>
      </c>
      <c r="D193" s="61">
        <v>21</v>
      </c>
      <c r="E193" s="61" t="s">
        <v>32</v>
      </c>
      <c r="F193" s="61" t="s">
        <v>17</v>
      </c>
      <c r="G193" s="61" t="s">
        <v>23</v>
      </c>
      <c r="H193" s="61">
        <v>16140</v>
      </c>
      <c r="I193" s="61" t="s">
        <v>35</v>
      </c>
      <c r="J193" s="18" t="s">
        <v>68</v>
      </c>
      <c r="K193" s="22"/>
      <c r="L193" s="18"/>
      <c r="M193" s="87">
        <f>1855000-1547800</f>
        <v>307200</v>
      </c>
      <c r="N193" s="94">
        <f>O193</f>
        <v>111200</v>
      </c>
      <c r="O193" s="93">
        <v>111200</v>
      </c>
      <c r="P193" s="74">
        <f t="shared" si="61"/>
        <v>36.197916666666671</v>
      </c>
    </row>
    <row r="194" spans="1:16" s="20" customFormat="1" ht="55.5" hidden="1" customHeight="1" x14ac:dyDescent="0.2">
      <c r="A194" s="46" t="s">
        <v>227</v>
      </c>
      <c r="B194" s="61" t="s">
        <v>47</v>
      </c>
      <c r="C194" s="61" t="s">
        <v>12</v>
      </c>
      <c r="D194" s="61">
        <v>21</v>
      </c>
      <c r="E194" s="61" t="s">
        <v>32</v>
      </c>
      <c r="F194" s="61" t="s">
        <v>17</v>
      </c>
      <c r="G194" s="61" t="s">
        <v>23</v>
      </c>
      <c r="H194" s="61">
        <v>16140</v>
      </c>
      <c r="I194" s="61" t="s">
        <v>35</v>
      </c>
      <c r="J194" s="18" t="s">
        <v>68</v>
      </c>
      <c r="K194" s="22"/>
      <c r="L194" s="18"/>
      <c r="M194" s="89">
        <f>2272216.08-1289533</f>
        <v>982683.08000000007</v>
      </c>
      <c r="N194" s="94">
        <f>O194-O195</f>
        <v>0</v>
      </c>
      <c r="O194" s="89">
        <v>782683.08</v>
      </c>
      <c r="P194" s="74">
        <f t="shared" si="61"/>
        <v>79.647558396955404</v>
      </c>
    </row>
    <row r="195" spans="1:16" s="20" customFormat="1" ht="36" hidden="1" customHeight="1" x14ac:dyDescent="0.2">
      <c r="A195" s="55" t="s">
        <v>191</v>
      </c>
      <c r="B195" s="57"/>
      <c r="C195" s="57"/>
      <c r="D195" s="57"/>
      <c r="E195" s="57"/>
      <c r="F195" s="57"/>
      <c r="G195" s="57"/>
      <c r="H195" s="57"/>
      <c r="I195" s="57"/>
      <c r="J195" s="4"/>
      <c r="K195" s="22"/>
      <c r="L195" s="18"/>
      <c r="M195" s="87">
        <v>782683.08</v>
      </c>
      <c r="N195" s="94">
        <v>0</v>
      </c>
      <c r="O195" s="89">
        <v>782683.08</v>
      </c>
      <c r="P195" s="74">
        <f t="shared" si="61"/>
        <v>100</v>
      </c>
    </row>
    <row r="196" spans="1:16" s="20" customFormat="1" ht="12.75" hidden="1" customHeight="1" x14ac:dyDescent="0.2">
      <c r="A196" s="54" t="s">
        <v>125</v>
      </c>
      <c r="B196" s="57"/>
      <c r="C196" s="57"/>
      <c r="D196" s="57"/>
      <c r="E196" s="57"/>
      <c r="F196" s="57"/>
      <c r="G196" s="57"/>
      <c r="H196" s="57"/>
      <c r="I196" s="57"/>
      <c r="J196" s="4"/>
      <c r="K196" s="22"/>
      <c r="L196" s="18"/>
      <c r="M196" s="88">
        <f>M197+M199</f>
        <v>793848</v>
      </c>
      <c r="N196" s="88">
        <f t="shared" ref="N196:O196" si="86">N197+N199</f>
        <v>18750</v>
      </c>
      <c r="O196" s="88">
        <f t="shared" si="86"/>
        <v>782529</v>
      </c>
      <c r="P196" s="75">
        <f t="shared" si="61"/>
        <v>98.574160292650475</v>
      </c>
    </row>
    <row r="197" spans="1:16" s="20" customFormat="1" ht="36.75" hidden="1" customHeight="1" x14ac:dyDescent="0.2">
      <c r="A197" s="46" t="s">
        <v>320</v>
      </c>
      <c r="B197" s="57" t="s">
        <v>47</v>
      </c>
      <c r="C197" s="57" t="s">
        <v>12</v>
      </c>
      <c r="D197" s="57">
        <v>21</v>
      </c>
      <c r="E197" s="57" t="s">
        <v>32</v>
      </c>
      <c r="F197" s="57" t="s">
        <v>17</v>
      </c>
      <c r="G197" s="57" t="s">
        <v>23</v>
      </c>
      <c r="H197" s="57">
        <v>16140</v>
      </c>
      <c r="I197" s="57" t="s">
        <v>35</v>
      </c>
      <c r="J197" s="4" t="s">
        <v>68</v>
      </c>
      <c r="K197" s="22"/>
      <c r="L197" s="18"/>
      <c r="M197" s="87">
        <f>295742-2616</f>
        <v>293126</v>
      </c>
      <c r="N197" s="94">
        <f>O197-O198</f>
        <v>18750</v>
      </c>
      <c r="O197" s="89">
        <v>281807</v>
      </c>
      <c r="P197" s="74">
        <f t="shared" si="61"/>
        <v>96.138520636176935</v>
      </c>
    </row>
    <row r="198" spans="1:16" s="20" customFormat="1" ht="36" hidden="1" customHeight="1" x14ac:dyDescent="0.2">
      <c r="A198" s="55" t="s">
        <v>191</v>
      </c>
      <c r="B198" s="57"/>
      <c r="C198" s="57"/>
      <c r="D198" s="57"/>
      <c r="E198" s="57"/>
      <c r="F198" s="57"/>
      <c r="G198" s="57"/>
      <c r="H198" s="57"/>
      <c r="I198" s="57"/>
      <c r="J198" s="4"/>
      <c r="K198" s="22"/>
      <c r="L198" s="18"/>
      <c r="M198" s="87">
        <f>266917-3860</f>
        <v>263057</v>
      </c>
      <c r="N198" s="94">
        <v>0</v>
      </c>
      <c r="O198" s="89">
        <v>263057</v>
      </c>
      <c r="P198" s="74">
        <f t="shared" si="61"/>
        <v>100</v>
      </c>
    </row>
    <row r="199" spans="1:16" s="20" customFormat="1" ht="48.75" hidden="1" customHeight="1" x14ac:dyDescent="0.2">
      <c r="A199" s="46" t="s">
        <v>321</v>
      </c>
      <c r="B199" s="57">
        <v>19</v>
      </c>
      <c r="C199" s="57">
        <v>3</v>
      </c>
      <c r="D199" s="57">
        <v>21</v>
      </c>
      <c r="E199" s="57">
        <v>819</v>
      </c>
      <c r="F199" s="57" t="s">
        <v>17</v>
      </c>
      <c r="G199" s="57" t="s">
        <v>23</v>
      </c>
      <c r="H199" s="57">
        <v>16140</v>
      </c>
      <c r="I199" s="57" t="s">
        <v>35</v>
      </c>
      <c r="J199" s="4" t="s">
        <v>68</v>
      </c>
      <c r="K199" s="4"/>
      <c r="L199" s="18">
        <v>2017</v>
      </c>
      <c r="M199" s="87">
        <f>1158331-657609</f>
        <v>500722</v>
      </c>
      <c r="N199" s="94">
        <f>O199-O200</f>
        <v>0</v>
      </c>
      <c r="O199" s="89">
        <v>500722</v>
      </c>
      <c r="P199" s="74">
        <f t="shared" si="61"/>
        <v>100</v>
      </c>
    </row>
    <row r="200" spans="1:16" s="20" customFormat="1" ht="36" hidden="1" customHeight="1" x14ac:dyDescent="0.2">
      <c r="A200" s="55" t="s">
        <v>191</v>
      </c>
      <c r="B200" s="57"/>
      <c r="C200" s="57"/>
      <c r="D200" s="57"/>
      <c r="E200" s="57"/>
      <c r="F200" s="57"/>
      <c r="G200" s="57"/>
      <c r="H200" s="57"/>
      <c r="I200" s="57"/>
      <c r="J200" s="4"/>
      <c r="K200" s="22"/>
      <c r="L200" s="18"/>
      <c r="M200" s="87">
        <v>500722</v>
      </c>
      <c r="N200" s="94">
        <v>0</v>
      </c>
      <c r="O200" s="89">
        <v>500722</v>
      </c>
      <c r="P200" s="74">
        <f t="shared" si="61"/>
        <v>100</v>
      </c>
    </row>
    <row r="201" spans="1:16" s="20" customFormat="1" ht="17.25" hidden="1" customHeight="1" x14ac:dyDescent="0.2">
      <c r="A201" s="54" t="s">
        <v>106</v>
      </c>
      <c r="B201" s="57"/>
      <c r="C201" s="57"/>
      <c r="D201" s="57"/>
      <c r="E201" s="57"/>
      <c r="F201" s="57"/>
      <c r="G201" s="57"/>
      <c r="H201" s="57"/>
      <c r="I201" s="57"/>
      <c r="J201" s="4"/>
      <c r="K201" s="4"/>
      <c r="L201" s="18"/>
      <c r="M201" s="88">
        <f>M202+M204+M206+M208</f>
        <v>36979014.859999999</v>
      </c>
      <c r="N201" s="88">
        <f t="shared" ref="N201:O201" si="87">N202+N204+N206+N208</f>
        <v>34980596.450000003</v>
      </c>
      <c r="O201" s="88">
        <f t="shared" si="87"/>
        <v>36884979.859999999</v>
      </c>
      <c r="P201" s="75">
        <f t="shared" si="61"/>
        <v>99.745707125092409</v>
      </c>
    </row>
    <row r="202" spans="1:16" s="20" customFormat="1" ht="72" hidden="1" customHeight="1" x14ac:dyDescent="0.2">
      <c r="A202" s="46" t="s">
        <v>322</v>
      </c>
      <c r="B202" s="57">
        <v>19</v>
      </c>
      <c r="C202" s="57" t="s">
        <v>12</v>
      </c>
      <c r="D202" s="57">
        <v>21</v>
      </c>
      <c r="E202" s="57" t="s">
        <v>32</v>
      </c>
      <c r="F202" s="57" t="s">
        <v>17</v>
      </c>
      <c r="G202" s="57" t="s">
        <v>23</v>
      </c>
      <c r="H202" s="57">
        <v>16140</v>
      </c>
      <c r="I202" s="57" t="s">
        <v>35</v>
      </c>
      <c r="J202" s="4" t="s">
        <v>68</v>
      </c>
      <c r="K202" s="22">
        <v>5.15</v>
      </c>
      <c r="L202" s="18">
        <v>2016</v>
      </c>
      <c r="M202" s="87">
        <f>35791756.28-0.42</f>
        <v>35791755.859999999</v>
      </c>
      <c r="N202" s="94">
        <f>O202-O203</f>
        <v>34889554.450000003</v>
      </c>
      <c r="O202" s="89">
        <v>35791755.859999999</v>
      </c>
      <c r="P202" s="74">
        <f t="shared" ref="P202:P263" si="88">O202/M202*100</f>
        <v>100</v>
      </c>
    </row>
    <row r="203" spans="1:16" s="20" customFormat="1" ht="36" hidden="1" customHeight="1" x14ac:dyDescent="0.2">
      <c r="A203" s="48" t="s">
        <v>191</v>
      </c>
      <c r="B203" s="57"/>
      <c r="C203" s="57"/>
      <c r="D203" s="57"/>
      <c r="E203" s="57"/>
      <c r="F203" s="57"/>
      <c r="G203" s="57"/>
      <c r="H203" s="57"/>
      <c r="I203" s="57"/>
      <c r="J203" s="4"/>
      <c r="K203" s="22"/>
      <c r="L203" s="18"/>
      <c r="M203" s="87">
        <v>902201.41</v>
      </c>
      <c r="N203" s="94">
        <v>0</v>
      </c>
      <c r="O203" s="89">
        <v>902201.41</v>
      </c>
      <c r="P203" s="74">
        <f t="shared" si="88"/>
        <v>100</v>
      </c>
    </row>
    <row r="204" spans="1:16" s="20" customFormat="1" ht="75.75" hidden="1" customHeight="1" x14ac:dyDescent="0.2">
      <c r="A204" s="46" t="s">
        <v>323</v>
      </c>
      <c r="B204" s="57" t="s">
        <v>47</v>
      </c>
      <c r="C204" s="57" t="s">
        <v>12</v>
      </c>
      <c r="D204" s="57">
        <v>21</v>
      </c>
      <c r="E204" s="57" t="s">
        <v>32</v>
      </c>
      <c r="F204" s="57" t="s">
        <v>17</v>
      </c>
      <c r="G204" s="57" t="s">
        <v>23</v>
      </c>
      <c r="H204" s="57">
        <v>16140</v>
      </c>
      <c r="I204" s="57" t="s">
        <v>35</v>
      </c>
      <c r="J204" s="4" t="s">
        <v>68</v>
      </c>
      <c r="K204" s="22"/>
      <c r="L204" s="18"/>
      <c r="M204" s="87">
        <f>391665-22000</f>
        <v>369665</v>
      </c>
      <c r="N204" s="94">
        <f>O204-O205</f>
        <v>75000</v>
      </c>
      <c r="O204" s="89">
        <v>275630</v>
      </c>
      <c r="P204" s="74">
        <f t="shared" si="88"/>
        <v>74.562103526165586</v>
      </c>
    </row>
    <row r="205" spans="1:16" s="20" customFormat="1" ht="36" hidden="1" customHeight="1" x14ac:dyDescent="0.2">
      <c r="A205" s="48" t="s">
        <v>191</v>
      </c>
      <c r="B205" s="57"/>
      <c r="C205" s="57"/>
      <c r="D205" s="57"/>
      <c r="E205" s="57"/>
      <c r="F205" s="57"/>
      <c r="G205" s="57"/>
      <c r="H205" s="57"/>
      <c r="I205" s="57"/>
      <c r="J205" s="4"/>
      <c r="K205" s="22"/>
      <c r="L205" s="18"/>
      <c r="M205" s="87">
        <v>200630</v>
      </c>
      <c r="N205" s="94">
        <v>0</v>
      </c>
      <c r="O205" s="89">
        <v>200630</v>
      </c>
      <c r="P205" s="74">
        <f t="shared" si="88"/>
        <v>100</v>
      </c>
    </row>
    <row r="206" spans="1:16" s="20" customFormat="1" ht="75.75" hidden="1" customHeight="1" x14ac:dyDescent="0.2">
      <c r="A206" s="46" t="s">
        <v>324</v>
      </c>
      <c r="B206" s="57" t="s">
        <v>47</v>
      </c>
      <c r="C206" s="57" t="s">
        <v>12</v>
      </c>
      <c r="D206" s="57">
        <v>21</v>
      </c>
      <c r="E206" s="57" t="s">
        <v>32</v>
      </c>
      <c r="F206" s="57" t="s">
        <v>17</v>
      </c>
      <c r="G206" s="57" t="s">
        <v>23</v>
      </c>
      <c r="H206" s="57">
        <v>16140</v>
      </c>
      <c r="I206" s="57" t="s">
        <v>35</v>
      </c>
      <c r="J206" s="4" t="s">
        <v>68</v>
      </c>
      <c r="K206" s="22"/>
      <c r="L206" s="18"/>
      <c r="M206" s="87">
        <f>734000-159000</f>
        <v>575000</v>
      </c>
      <c r="N206" s="94">
        <f>O206-O207</f>
        <v>16000</v>
      </c>
      <c r="O206" s="89">
        <v>575000</v>
      </c>
      <c r="P206" s="74">
        <f t="shared" si="88"/>
        <v>100</v>
      </c>
    </row>
    <row r="207" spans="1:16" s="20" customFormat="1" ht="36" hidden="1" customHeight="1" x14ac:dyDescent="0.2">
      <c r="A207" s="48" t="s">
        <v>191</v>
      </c>
      <c r="B207" s="57"/>
      <c r="C207" s="57"/>
      <c r="D207" s="57"/>
      <c r="E207" s="57"/>
      <c r="F207" s="57"/>
      <c r="G207" s="57"/>
      <c r="H207" s="57"/>
      <c r="I207" s="57"/>
      <c r="J207" s="4"/>
      <c r="K207" s="22"/>
      <c r="L207" s="18"/>
      <c r="M207" s="87">
        <v>559000</v>
      </c>
      <c r="N207" s="94">
        <v>0</v>
      </c>
      <c r="O207" s="89">
        <v>559000</v>
      </c>
      <c r="P207" s="74">
        <f t="shared" si="88"/>
        <v>100</v>
      </c>
    </row>
    <row r="208" spans="1:16" s="20" customFormat="1" ht="36" hidden="1" customHeight="1" x14ac:dyDescent="0.2">
      <c r="A208" s="46" t="s">
        <v>195</v>
      </c>
      <c r="B208" s="57" t="s">
        <v>47</v>
      </c>
      <c r="C208" s="57" t="s">
        <v>12</v>
      </c>
      <c r="D208" s="57">
        <v>21</v>
      </c>
      <c r="E208" s="57" t="s">
        <v>32</v>
      </c>
      <c r="F208" s="57" t="s">
        <v>17</v>
      </c>
      <c r="G208" s="57" t="s">
        <v>23</v>
      </c>
      <c r="H208" s="57">
        <v>16140</v>
      </c>
      <c r="I208" s="57" t="s">
        <v>35</v>
      </c>
      <c r="J208" s="4" t="s">
        <v>68</v>
      </c>
      <c r="K208" s="22"/>
      <c r="L208" s="18"/>
      <c r="M208" s="87">
        <f>242636+2458-2500</f>
        <v>242594</v>
      </c>
      <c r="N208" s="94">
        <f>O208-O209</f>
        <v>42</v>
      </c>
      <c r="O208" s="89">
        <v>242594</v>
      </c>
      <c r="P208" s="74">
        <f t="shared" si="88"/>
        <v>100</v>
      </c>
    </row>
    <row r="209" spans="1:22" s="20" customFormat="1" ht="36" hidden="1" customHeight="1" x14ac:dyDescent="0.2">
      <c r="A209" s="48" t="s">
        <v>191</v>
      </c>
      <c r="B209" s="57"/>
      <c r="C209" s="57"/>
      <c r="D209" s="57"/>
      <c r="E209" s="57"/>
      <c r="F209" s="57"/>
      <c r="G209" s="57"/>
      <c r="H209" s="57"/>
      <c r="I209" s="57"/>
      <c r="J209" s="4"/>
      <c r="K209" s="22"/>
      <c r="L209" s="18"/>
      <c r="M209" s="87">
        <f>242636-42-42</f>
        <v>242552</v>
      </c>
      <c r="N209" s="94">
        <v>0</v>
      </c>
      <c r="O209" s="89">
        <v>242552</v>
      </c>
      <c r="P209" s="74">
        <f t="shared" si="88"/>
        <v>100</v>
      </c>
    </row>
    <row r="210" spans="1:22" s="20" customFormat="1" ht="12.75" hidden="1" customHeight="1" x14ac:dyDescent="0.2">
      <c r="A210" s="54" t="s">
        <v>97</v>
      </c>
      <c r="B210" s="58"/>
      <c r="C210" s="58"/>
      <c r="D210" s="58"/>
      <c r="E210" s="58"/>
      <c r="F210" s="58"/>
      <c r="G210" s="58"/>
      <c r="H210" s="58"/>
      <c r="I210" s="58"/>
      <c r="J210" s="4"/>
      <c r="K210" s="22"/>
      <c r="L210" s="18"/>
      <c r="M210" s="88">
        <f>M211+M213</f>
        <v>1831074.42</v>
      </c>
      <c r="N210" s="88">
        <f t="shared" ref="N210:O210" si="89">N211+N213</f>
        <v>1006309.9999999999</v>
      </c>
      <c r="O210" s="88">
        <f t="shared" si="89"/>
        <v>1732474.42</v>
      </c>
      <c r="P210" s="75">
        <f t="shared" si="88"/>
        <v>94.615183363219074</v>
      </c>
    </row>
    <row r="211" spans="1:22" s="20" customFormat="1" ht="48" hidden="1" customHeight="1" x14ac:dyDescent="0.2">
      <c r="A211" s="46" t="s">
        <v>229</v>
      </c>
      <c r="B211" s="57" t="s">
        <v>47</v>
      </c>
      <c r="C211" s="57" t="s">
        <v>12</v>
      </c>
      <c r="D211" s="57">
        <v>21</v>
      </c>
      <c r="E211" s="57" t="s">
        <v>32</v>
      </c>
      <c r="F211" s="57" t="s">
        <v>17</v>
      </c>
      <c r="G211" s="57" t="s">
        <v>23</v>
      </c>
      <c r="H211" s="57">
        <v>16140</v>
      </c>
      <c r="I211" s="57" t="s">
        <v>35</v>
      </c>
      <c r="J211" s="4" t="s">
        <v>68</v>
      </c>
      <c r="K211" s="22"/>
      <c r="L211" s="18">
        <v>2017</v>
      </c>
      <c r="M211" s="87">
        <f>3593911-3423391</f>
        <v>170520</v>
      </c>
      <c r="N211" s="80">
        <v>0</v>
      </c>
      <c r="O211" s="89">
        <v>170520</v>
      </c>
      <c r="P211" s="74">
        <f t="shared" si="88"/>
        <v>100</v>
      </c>
    </row>
    <row r="212" spans="1:22" s="20" customFormat="1" ht="36" hidden="1" customHeight="1" x14ac:dyDescent="0.2">
      <c r="A212" s="48" t="s">
        <v>191</v>
      </c>
      <c r="B212" s="57"/>
      <c r="C212" s="57"/>
      <c r="D212" s="57"/>
      <c r="E212" s="57"/>
      <c r="F212" s="57"/>
      <c r="G212" s="57"/>
      <c r="H212" s="57"/>
      <c r="I212" s="57"/>
      <c r="J212" s="4"/>
      <c r="K212" s="22"/>
      <c r="L212" s="18"/>
      <c r="M212" s="87">
        <v>170520</v>
      </c>
      <c r="N212" s="94">
        <v>0</v>
      </c>
      <c r="O212" s="89">
        <v>170520</v>
      </c>
      <c r="P212" s="74">
        <f t="shared" si="88"/>
        <v>100</v>
      </c>
    </row>
    <row r="213" spans="1:22" s="20" customFormat="1" ht="60" hidden="1" customHeight="1" x14ac:dyDescent="0.2">
      <c r="A213" s="46" t="s">
        <v>196</v>
      </c>
      <c r="B213" s="57" t="s">
        <v>47</v>
      </c>
      <c r="C213" s="57" t="s">
        <v>12</v>
      </c>
      <c r="D213" s="57">
        <v>21</v>
      </c>
      <c r="E213" s="57" t="s">
        <v>32</v>
      </c>
      <c r="F213" s="57" t="s">
        <v>17</v>
      </c>
      <c r="G213" s="57" t="s">
        <v>23</v>
      </c>
      <c r="H213" s="57">
        <v>16140</v>
      </c>
      <c r="I213" s="57" t="s">
        <v>35</v>
      </c>
      <c r="J213" s="4" t="s">
        <v>68</v>
      </c>
      <c r="K213" s="22"/>
      <c r="L213" s="18"/>
      <c r="M213" s="87">
        <f>1758656.42-98102</f>
        <v>1660554.42</v>
      </c>
      <c r="N213" s="94">
        <f>O213-O214</f>
        <v>1006309.9999999999</v>
      </c>
      <c r="O213" s="89">
        <v>1561954.42</v>
      </c>
      <c r="P213" s="74">
        <f t="shared" si="88"/>
        <v>94.062224109463386</v>
      </c>
    </row>
    <row r="214" spans="1:22" s="20" customFormat="1" ht="36" hidden="1" customHeight="1" x14ac:dyDescent="0.2">
      <c r="A214" s="48" t="s">
        <v>191</v>
      </c>
      <c r="B214" s="57"/>
      <c r="C214" s="57"/>
      <c r="D214" s="57"/>
      <c r="E214" s="57"/>
      <c r="F214" s="57"/>
      <c r="G214" s="57"/>
      <c r="H214" s="57"/>
      <c r="I214" s="57"/>
      <c r="J214" s="4"/>
      <c r="K214" s="22"/>
      <c r="L214" s="18"/>
      <c r="M214" s="87">
        <v>555644.42000000004</v>
      </c>
      <c r="N214" s="94">
        <v>0</v>
      </c>
      <c r="O214" s="89">
        <v>555644.42000000004</v>
      </c>
      <c r="P214" s="74">
        <f t="shared" si="88"/>
        <v>100</v>
      </c>
    </row>
    <row r="215" spans="1:22" s="20" customFormat="1" ht="12.75" hidden="1" customHeight="1" x14ac:dyDescent="0.2">
      <c r="A215" s="54" t="s">
        <v>67</v>
      </c>
      <c r="B215" s="58"/>
      <c r="C215" s="58"/>
      <c r="D215" s="58"/>
      <c r="E215" s="58"/>
      <c r="F215" s="58"/>
      <c r="G215" s="58"/>
      <c r="H215" s="58"/>
      <c r="I215" s="58"/>
      <c r="J215" s="4"/>
      <c r="K215" s="22"/>
      <c r="L215" s="18"/>
      <c r="M215" s="88">
        <f>M216+M217</f>
        <v>7735584.4299999997</v>
      </c>
      <c r="N215" s="88">
        <f t="shared" ref="N215:O215" si="90">N216+N217</f>
        <v>7390053.1500000004</v>
      </c>
      <c r="O215" s="88">
        <f t="shared" si="90"/>
        <v>7735578.1400000006</v>
      </c>
      <c r="P215" s="75">
        <f t="shared" si="88"/>
        <v>99.999918687462383</v>
      </c>
    </row>
    <row r="216" spans="1:22" s="20" customFormat="1" ht="60.75" hidden="1" customHeight="1" x14ac:dyDescent="0.2">
      <c r="A216" s="46" t="s">
        <v>411</v>
      </c>
      <c r="B216" s="57" t="s">
        <v>47</v>
      </c>
      <c r="C216" s="57" t="s">
        <v>12</v>
      </c>
      <c r="D216" s="57">
        <v>21</v>
      </c>
      <c r="E216" s="57" t="s">
        <v>32</v>
      </c>
      <c r="F216" s="57" t="s">
        <v>17</v>
      </c>
      <c r="G216" s="57" t="s">
        <v>23</v>
      </c>
      <c r="H216" s="57" t="s">
        <v>257</v>
      </c>
      <c r="I216" s="57" t="s">
        <v>35</v>
      </c>
      <c r="J216" s="4" t="s">
        <v>68</v>
      </c>
      <c r="K216" s="22">
        <v>4</v>
      </c>
      <c r="L216" s="18">
        <v>2016</v>
      </c>
      <c r="M216" s="89">
        <f>3370336+3515701.44</f>
        <v>6886037.4399999995</v>
      </c>
      <c r="N216" s="94">
        <f>O216</f>
        <v>6886031.1500000004</v>
      </c>
      <c r="O216" s="89">
        <v>6886031.1500000004</v>
      </c>
      <c r="P216" s="74">
        <f t="shared" si="88"/>
        <v>99.999908655739176</v>
      </c>
    </row>
    <row r="217" spans="1:22" s="20" customFormat="1" ht="48" hidden="1" customHeight="1" x14ac:dyDescent="0.2">
      <c r="A217" s="46" t="s">
        <v>256</v>
      </c>
      <c r="B217" s="57" t="s">
        <v>47</v>
      </c>
      <c r="C217" s="57" t="s">
        <v>12</v>
      </c>
      <c r="D217" s="57">
        <v>21</v>
      </c>
      <c r="E217" s="57" t="s">
        <v>32</v>
      </c>
      <c r="F217" s="57" t="s">
        <v>17</v>
      </c>
      <c r="G217" s="57" t="s">
        <v>23</v>
      </c>
      <c r="H217" s="57">
        <v>16140</v>
      </c>
      <c r="I217" s="57" t="s">
        <v>35</v>
      </c>
      <c r="J217" s="4"/>
      <c r="K217" s="22"/>
      <c r="L217" s="18"/>
      <c r="M217" s="87">
        <v>849546.99</v>
      </c>
      <c r="N217" s="94">
        <f>O217-O218</f>
        <v>504022</v>
      </c>
      <c r="O217" s="89">
        <v>849546.99</v>
      </c>
      <c r="P217" s="74">
        <f t="shared" si="88"/>
        <v>100</v>
      </c>
    </row>
    <row r="218" spans="1:22" s="20" customFormat="1" ht="36" hidden="1" customHeight="1" x14ac:dyDescent="0.2">
      <c r="A218" s="48" t="s">
        <v>191</v>
      </c>
      <c r="B218" s="57"/>
      <c r="C218" s="57"/>
      <c r="D218" s="57"/>
      <c r="E218" s="57"/>
      <c r="F218" s="57"/>
      <c r="G218" s="57"/>
      <c r="H218" s="57"/>
      <c r="I218" s="57"/>
      <c r="J218" s="4"/>
      <c r="K218" s="22"/>
      <c r="L218" s="18"/>
      <c r="M218" s="87">
        <v>345524.99</v>
      </c>
      <c r="N218" s="94">
        <v>0</v>
      </c>
      <c r="O218" s="89">
        <v>345524.99</v>
      </c>
      <c r="P218" s="74">
        <f t="shared" si="88"/>
        <v>100</v>
      </c>
    </row>
    <row r="219" spans="1:22" s="20" customFormat="1" ht="12.75" hidden="1" customHeight="1" x14ac:dyDescent="0.2">
      <c r="A219" s="54" t="s">
        <v>76</v>
      </c>
      <c r="B219" s="58"/>
      <c r="C219" s="58"/>
      <c r="D219" s="58"/>
      <c r="E219" s="58"/>
      <c r="F219" s="58"/>
      <c r="G219" s="58"/>
      <c r="H219" s="58"/>
      <c r="I219" s="58"/>
      <c r="J219" s="4"/>
      <c r="K219" s="22"/>
      <c r="L219" s="18"/>
      <c r="M219" s="88">
        <f>M220</f>
        <v>1718283.3399999999</v>
      </c>
      <c r="N219" s="88">
        <f t="shared" ref="N219:O219" si="91">N220</f>
        <v>714280.00000000012</v>
      </c>
      <c r="O219" s="88">
        <f t="shared" si="91"/>
        <v>1497789.34</v>
      </c>
      <c r="P219" s="75">
        <f t="shared" si="88"/>
        <v>87.16777408782886</v>
      </c>
    </row>
    <row r="220" spans="1:22" s="20" customFormat="1" ht="53.25" hidden="1" customHeight="1" x14ac:dyDescent="0.2">
      <c r="A220" s="46" t="s">
        <v>197</v>
      </c>
      <c r="B220" s="57" t="s">
        <v>47</v>
      </c>
      <c r="C220" s="57" t="s">
        <v>12</v>
      </c>
      <c r="D220" s="57">
        <v>21</v>
      </c>
      <c r="E220" s="57" t="s">
        <v>32</v>
      </c>
      <c r="F220" s="57" t="s">
        <v>17</v>
      </c>
      <c r="G220" s="57" t="s">
        <v>23</v>
      </c>
      <c r="H220" s="57">
        <v>16140</v>
      </c>
      <c r="I220" s="57" t="s">
        <v>35</v>
      </c>
      <c r="J220" s="4"/>
      <c r="K220" s="22"/>
      <c r="L220" s="18"/>
      <c r="M220" s="87">
        <f>2678828.34-960545</f>
        <v>1718283.3399999999</v>
      </c>
      <c r="N220" s="94">
        <f>O220-O221</f>
        <v>714280.00000000012</v>
      </c>
      <c r="O220" s="89">
        <v>1497789.34</v>
      </c>
      <c r="P220" s="74">
        <f t="shared" si="88"/>
        <v>87.16777408782886</v>
      </c>
    </row>
    <row r="221" spans="1:22" s="20" customFormat="1" ht="36" hidden="1" customHeight="1" x14ac:dyDescent="0.2">
      <c r="A221" s="48" t="s">
        <v>191</v>
      </c>
      <c r="B221" s="57"/>
      <c r="C221" s="57"/>
      <c r="D221" s="57"/>
      <c r="E221" s="57"/>
      <c r="F221" s="57"/>
      <c r="G221" s="57"/>
      <c r="H221" s="57"/>
      <c r="I221" s="57"/>
      <c r="J221" s="4"/>
      <c r="K221" s="22"/>
      <c r="L221" s="18"/>
      <c r="M221" s="87">
        <v>783509.34</v>
      </c>
      <c r="N221" s="94">
        <v>0</v>
      </c>
      <c r="O221" s="89">
        <v>783509.34</v>
      </c>
      <c r="P221" s="74">
        <f t="shared" si="88"/>
        <v>100</v>
      </c>
    </row>
    <row r="222" spans="1:22" ht="36" hidden="1" customHeight="1" x14ac:dyDescent="0.2">
      <c r="A222" s="43" t="s">
        <v>53</v>
      </c>
      <c r="B222" s="58" t="s">
        <v>54</v>
      </c>
      <c r="C222" s="58">
        <v>0</v>
      </c>
      <c r="D222" s="58"/>
      <c r="E222" s="57" t="s">
        <v>0</v>
      </c>
      <c r="F222" s="57" t="s">
        <v>0</v>
      </c>
      <c r="G222" s="57" t="s">
        <v>0</v>
      </c>
      <c r="H222" s="57"/>
      <c r="I222" s="57" t="s">
        <v>0</v>
      </c>
      <c r="J222" s="5"/>
      <c r="K222" s="5"/>
      <c r="L222" s="5"/>
      <c r="M222" s="79">
        <f>M223</f>
        <v>104429245.44999999</v>
      </c>
      <c r="N222" s="79">
        <f t="shared" ref="N222:O222" si="92">N223</f>
        <v>74036218.239999995</v>
      </c>
      <c r="O222" s="79">
        <f t="shared" si="92"/>
        <v>104329244.61</v>
      </c>
      <c r="P222" s="75">
        <f t="shared" si="88"/>
        <v>99.904240579763766</v>
      </c>
      <c r="Q222" s="20"/>
      <c r="R222" s="20"/>
      <c r="S222" s="20"/>
      <c r="T222" s="20"/>
      <c r="U222" s="20"/>
      <c r="V222" s="20"/>
    </row>
    <row r="223" spans="1:22" s="12" customFormat="1" ht="25.5" hidden="1" customHeight="1" x14ac:dyDescent="0.2">
      <c r="A223" s="43" t="s">
        <v>183</v>
      </c>
      <c r="B223" s="58" t="s">
        <v>54</v>
      </c>
      <c r="C223" s="58">
        <v>0</v>
      </c>
      <c r="D223" s="58">
        <v>14</v>
      </c>
      <c r="E223" s="57"/>
      <c r="F223" s="57"/>
      <c r="G223" s="57"/>
      <c r="H223" s="57"/>
      <c r="I223" s="57"/>
      <c r="J223" s="5"/>
      <c r="K223" s="5"/>
      <c r="L223" s="5"/>
      <c r="M223" s="79">
        <f>M224+M246</f>
        <v>104429245.44999999</v>
      </c>
      <c r="N223" s="79">
        <f t="shared" ref="N223:O223" si="93">N224+N246</f>
        <v>74036218.239999995</v>
      </c>
      <c r="O223" s="79">
        <f t="shared" si="93"/>
        <v>104329244.61</v>
      </c>
      <c r="P223" s="75">
        <f t="shared" si="88"/>
        <v>99.904240579763766</v>
      </c>
      <c r="Q223" s="20"/>
      <c r="R223" s="20"/>
      <c r="S223" s="20"/>
      <c r="T223" s="20"/>
      <c r="U223" s="20"/>
      <c r="V223" s="20"/>
    </row>
    <row r="224" spans="1:22" ht="26.25" hidden="1" customHeight="1" x14ac:dyDescent="0.2">
      <c r="A224" s="43" t="s">
        <v>31</v>
      </c>
      <c r="B224" s="58" t="s">
        <v>54</v>
      </c>
      <c r="C224" s="58">
        <v>0</v>
      </c>
      <c r="D224" s="58">
        <v>14</v>
      </c>
      <c r="E224" s="58">
        <v>819</v>
      </c>
      <c r="F224" s="58" t="s">
        <v>0</v>
      </c>
      <c r="G224" s="58" t="s">
        <v>0</v>
      </c>
      <c r="H224" s="58" t="s">
        <v>0</v>
      </c>
      <c r="I224" s="58" t="s">
        <v>0</v>
      </c>
      <c r="J224" s="7"/>
      <c r="K224" s="7"/>
      <c r="L224" s="7"/>
      <c r="M224" s="79">
        <f>M225</f>
        <v>104329245.44999999</v>
      </c>
      <c r="N224" s="79">
        <f t="shared" ref="N224:O224" si="94">N225</f>
        <v>74036218.239999995</v>
      </c>
      <c r="O224" s="79">
        <f t="shared" si="94"/>
        <v>104329244.61</v>
      </c>
      <c r="P224" s="75">
        <f t="shared" si="88"/>
        <v>99.999999194856642</v>
      </c>
      <c r="Q224" s="20"/>
      <c r="R224" s="20"/>
      <c r="S224" s="20"/>
      <c r="T224" s="20"/>
      <c r="U224" s="20"/>
      <c r="V224" s="20"/>
    </row>
    <row r="225" spans="1:22" ht="37.5" hidden="1" customHeight="1" x14ac:dyDescent="0.2">
      <c r="A225" s="43" t="s">
        <v>64</v>
      </c>
      <c r="B225" s="58">
        <v>25</v>
      </c>
      <c r="C225" s="58">
        <v>0</v>
      </c>
      <c r="D225" s="58">
        <v>14</v>
      </c>
      <c r="E225" s="58">
        <v>819</v>
      </c>
      <c r="F225" s="58"/>
      <c r="G225" s="58"/>
      <c r="H225" s="58"/>
      <c r="I225" s="58"/>
      <c r="J225" s="7"/>
      <c r="K225" s="7"/>
      <c r="L225" s="7"/>
      <c r="M225" s="79">
        <f>M227+M238</f>
        <v>104329245.44999999</v>
      </c>
      <c r="N225" s="79">
        <f t="shared" ref="N225:O225" si="95">N227+N238</f>
        <v>74036218.239999995</v>
      </c>
      <c r="O225" s="79">
        <f t="shared" si="95"/>
        <v>104329244.61</v>
      </c>
      <c r="P225" s="75">
        <f t="shared" si="88"/>
        <v>99.999999194856642</v>
      </c>
      <c r="Q225" s="20"/>
      <c r="R225" s="20"/>
      <c r="S225" s="20"/>
      <c r="T225" s="20"/>
      <c r="U225" s="20"/>
      <c r="V225" s="20"/>
    </row>
    <row r="226" spans="1:22" ht="15" hidden="1" customHeight="1" x14ac:dyDescent="0.2">
      <c r="A226" s="43" t="s">
        <v>55</v>
      </c>
      <c r="B226" s="58" t="s">
        <v>54</v>
      </c>
      <c r="C226" s="58">
        <v>0</v>
      </c>
      <c r="D226" s="58">
        <v>14</v>
      </c>
      <c r="E226" s="58" t="s">
        <v>32</v>
      </c>
      <c r="F226" s="58" t="s">
        <v>14</v>
      </c>
      <c r="G226" s="58" t="s">
        <v>0</v>
      </c>
      <c r="H226" s="58" t="s">
        <v>0</v>
      </c>
      <c r="I226" s="58" t="s">
        <v>0</v>
      </c>
      <c r="J226" s="7"/>
      <c r="K226" s="7"/>
      <c r="L226" s="7"/>
      <c r="M226" s="82">
        <f>M227+M238</f>
        <v>104329245.44999999</v>
      </c>
      <c r="N226" s="82">
        <f t="shared" ref="N226:O226" si="96">N227+N238</f>
        <v>74036218.239999995</v>
      </c>
      <c r="O226" s="82">
        <f t="shared" si="96"/>
        <v>104329244.61</v>
      </c>
      <c r="P226" s="75">
        <f t="shared" si="88"/>
        <v>99.999999194856642</v>
      </c>
      <c r="Q226" s="20"/>
      <c r="R226" s="20"/>
      <c r="S226" s="20"/>
      <c r="T226" s="20"/>
      <c r="U226" s="20"/>
      <c r="V226" s="20"/>
    </row>
    <row r="227" spans="1:22" ht="15" hidden="1" customHeight="1" x14ac:dyDescent="0.2">
      <c r="A227" s="43" t="s">
        <v>56</v>
      </c>
      <c r="B227" s="58" t="s">
        <v>54</v>
      </c>
      <c r="C227" s="58">
        <v>0</v>
      </c>
      <c r="D227" s="58">
        <v>14</v>
      </c>
      <c r="E227" s="58" t="s">
        <v>32</v>
      </c>
      <c r="F227" s="58" t="s">
        <v>14</v>
      </c>
      <c r="G227" s="58" t="s">
        <v>15</v>
      </c>
      <c r="H227" s="58" t="s">
        <v>0</v>
      </c>
      <c r="I227" s="58" t="s">
        <v>0</v>
      </c>
      <c r="J227" s="7"/>
      <c r="K227" s="7"/>
      <c r="L227" s="7"/>
      <c r="M227" s="79">
        <f>M228</f>
        <v>83671919.019999996</v>
      </c>
      <c r="N227" s="79">
        <f t="shared" ref="N227:O228" si="97">N228</f>
        <v>63378053.219999999</v>
      </c>
      <c r="O227" s="79">
        <f t="shared" si="97"/>
        <v>83671919.019999996</v>
      </c>
      <c r="P227" s="75">
        <f t="shared" si="88"/>
        <v>100</v>
      </c>
      <c r="Q227" s="20"/>
      <c r="R227" s="20"/>
      <c r="S227" s="20"/>
      <c r="T227" s="20"/>
      <c r="U227" s="20"/>
      <c r="V227" s="20"/>
    </row>
    <row r="228" spans="1:22" ht="38.25" hidden="1" customHeight="1" x14ac:dyDescent="0.2">
      <c r="A228" s="43" t="s">
        <v>33</v>
      </c>
      <c r="B228" s="58" t="s">
        <v>54</v>
      </c>
      <c r="C228" s="58">
        <v>0</v>
      </c>
      <c r="D228" s="58">
        <v>14</v>
      </c>
      <c r="E228" s="58" t="s">
        <v>32</v>
      </c>
      <c r="F228" s="58" t="s">
        <v>14</v>
      </c>
      <c r="G228" s="58" t="s">
        <v>15</v>
      </c>
      <c r="H228" s="58">
        <v>11260</v>
      </c>
      <c r="I228" s="58" t="s">
        <v>0</v>
      </c>
      <c r="J228" s="7"/>
      <c r="K228" s="7"/>
      <c r="L228" s="7"/>
      <c r="M228" s="79">
        <f>M229</f>
        <v>83671919.019999996</v>
      </c>
      <c r="N228" s="79">
        <f t="shared" si="97"/>
        <v>63378053.219999999</v>
      </c>
      <c r="O228" s="79">
        <f t="shared" si="97"/>
        <v>83671919.019999996</v>
      </c>
      <c r="P228" s="75">
        <f t="shared" si="88"/>
        <v>100</v>
      </c>
      <c r="Q228" s="20"/>
      <c r="R228" s="20"/>
      <c r="S228" s="20"/>
      <c r="T228" s="20"/>
      <c r="U228" s="20"/>
      <c r="V228" s="20"/>
    </row>
    <row r="229" spans="1:22" ht="51.75" hidden="1" customHeight="1" x14ac:dyDescent="0.2">
      <c r="A229" s="43" t="s">
        <v>34</v>
      </c>
      <c r="B229" s="58" t="s">
        <v>54</v>
      </c>
      <c r="C229" s="58">
        <v>0</v>
      </c>
      <c r="D229" s="58">
        <v>14</v>
      </c>
      <c r="E229" s="58" t="s">
        <v>32</v>
      </c>
      <c r="F229" s="58" t="s">
        <v>14</v>
      </c>
      <c r="G229" s="58" t="s">
        <v>15</v>
      </c>
      <c r="H229" s="58">
        <v>11260</v>
      </c>
      <c r="I229" s="58" t="s">
        <v>35</v>
      </c>
      <c r="J229" s="7"/>
      <c r="K229" s="7"/>
      <c r="L229" s="7"/>
      <c r="M229" s="79">
        <f>M230+M234+M236+M232+M237</f>
        <v>83671919.019999996</v>
      </c>
      <c r="N229" s="79">
        <f t="shared" ref="N229:O229" si="98">N230+N234+N236+N232+N237</f>
        <v>63378053.219999999</v>
      </c>
      <c r="O229" s="79">
        <f t="shared" si="98"/>
        <v>83671919.019999996</v>
      </c>
      <c r="P229" s="75">
        <f t="shared" si="88"/>
        <v>100</v>
      </c>
      <c r="Q229" s="20"/>
      <c r="R229" s="20"/>
      <c r="S229" s="20"/>
      <c r="T229" s="20"/>
      <c r="U229" s="20"/>
      <c r="V229" s="20"/>
    </row>
    <row r="230" spans="1:22" s="3" customFormat="1" ht="27" hidden="1" customHeight="1" x14ac:dyDescent="0.2">
      <c r="A230" s="46" t="s">
        <v>153</v>
      </c>
      <c r="B230" s="57" t="s">
        <v>54</v>
      </c>
      <c r="C230" s="57">
        <v>0</v>
      </c>
      <c r="D230" s="57">
        <v>14</v>
      </c>
      <c r="E230" s="57" t="s">
        <v>32</v>
      </c>
      <c r="F230" s="57" t="s">
        <v>14</v>
      </c>
      <c r="G230" s="57" t="s">
        <v>15</v>
      </c>
      <c r="H230" s="57">
        <v>11260</v>
      </c>
      <c r="I230" s="57" t="s">
        <v>35</v>
      </c>
      <c r="J230" s="5" t="s">
        <v>78</v>
      </c>
      <c r="K230" s="4">
        <v>48</v>
      </c>
      <c r="L230" s="18"/>
      <c r="M230" s="83">
        <f>6902800+2300931</f>
        <v>9203731</v>
      </c>
      <c r="N230" s="94">
        <f>O230-O231</f>
        <v>5303731</v>
      </c>
      <c r="O230" s="89">
        <v>9203731</v>
      </c>
      <c r="P230" s="74">
        <f t="shared" si="88"/>
        <v>100</v>
      </c>
      <c r="Q230" s="20"/>
      <c r="R230" s="20"/>
      <c r="S230" s="20"/>
      <c r="T230" s="20"/>
      <c r="U230" s="20"/>
      <c r="V230" s="20"/>
    </row>
    <row r="231" spans="1:22" s="3" customFormat="1" ht="36" hidden="1" customHeight="1" x14ac:dyDescent="0.2">
      <c r="A231" s="52" t="s">
        <v>191</v>
      </c>
      <c r="B231" s="57"/>
      <c r="C231" s="57"/>
      <c r="D231" s="57"/>
      <c r="E231" s="57"/>
      <c r="F231" s="57"/>
      <c r="G231" s="57"/>
      <c r="H231" s="57"/>
      <c r="I231" s="57"/>
      <c r="J231" s="5"/>
      <c r="K231" s="4"/>
      <c r="L231" s="18"/>
      <c r="M231" s="83">
        <v>3900000</v>
      </c>
      <c r="N231" s="94">
        <v>0</v>
      </c>
      <c r="O231" s="89">
        <v>3900000</v>
      </c>
      <c r="P231" s="74">
        <f t="shared" si="88"/>
        <v>100</v>
      </c>
      <c r="Q231" s="20"/>
      <c r="R231" s="20"/>
      <c r="S231" s="20"/>
      <c r="T231" s="20"/>
      <c r="U231" s="20"/>
      <c r="V231" s="20"/>
    </row>
    <row r="232" spans="1:22" s="3" customFormat="1" ht="26.25" hidden="1" customHeight="1" x14ac:dyDescent="0.2">
      <c r="A232" s="46" t="s">
        <v>154</v>
      </c>
      <c r="B232" s="57" t="s">
        <v>54</v>
      </c>
      <c r="C232" s="57">
        <v>0</v>
      </c>
      <c r="D232" s="57">
        <v>14</v>
      </c>
      <c r="E232" s="57" t="s">
        <v>32</v>
      </c>
      <c r="F232" s="57" t="s">
        <v>14</v>
      </c>
      <c r="G232" s="57" t="s">
        <v>15</v>
      </c>
      <c r="H232" s="57">
        <v>11260</v>
      </c>
      <c r="I232" s="57" t="s">
        <v>35</v>
      </c>
      <c r="J232" s="5" t="s">
        <v>78</v>
      </c>
      <c r="K232" s="4">
        <v>48</v>
      </c>
      <c r="L232" s="18"/>
      <c r="M232" s="83">
        <f>2824000-258.31</f>
        <v>2823741.69</v>
      </c>
      <c r="N232" s="94">
        <f>O232-O233</f>
        <v>399876.56999999983</v>
      </c>
      <c r="O232" s="89">
        <v>2823741.69</v>
      </c>
      <c r="P232" s="74">
        <f t="shared" si="88"/>
        <v>100</v>
      </c>
      <c r="Q232" s="20"/>
      <c r="R232" s="20"/>
      <c r="S232" s="20"/>
      <c r="T232" s="20"/>
      <c r="U232" s="20"/>
      <c r="V232" s="20"/>
    </row>
    <row r="233" spans="1:22" s="20" customFormat="1" ht="36" hidden="1" customHeight="1" x14ac:dyDescent="0.2">
      <c r="A233" s="52" t="s">
        <v>191</v>
      </c>
      <c r="B233" s="61"/>
      <c r="C233" s="61"/>
      <c r="D233" s="61"/>
      <c r="E233" s="61"/>
      <c r="F233" s="61"/>
      <c r="G233" s="61"/>
      <c r="H233" s="61"/>
      <c r="I233" s="61"/>
      <c r="J233" s="19"/>
      <c r="K233" s="18"/>
      <c r="L233" s="18"/>
      <c r="M233" s="81">
        <v>2423865.12</v>
      </c>
      <c r="N233" s="94">
        <v>0</v>
      </c>
      <c r="O233" s="89">
        <v>2423865.12</v>
      </c>
      <c r="P233" s="74">
        <f t="shared" si="88"/>
        <v>100</v>
      </c>
    </row>
    <row r="234" spans="1:22" s="2" customFormat="1" ht="42.75" hidden="1" customHeight="1" x14ac:dyDescent="0.2">
      <c r="A234" s="46" t="s">
        <v>412</v>
      </c>
      <c r="B234" s="57" t="s">
        <v>54</v>
      </c>
      <c r="C234" s="57">
        <v>0</v>
      </c>
      <c r="D234" s="57">
        <v>14</v>
      </c>
      <c r="E234" s="57" t="s">
        <v>32</v>
      </c>
      <c r="F234" s="57" t="s">
        <v>14</v>
      </c>
      <c r="G234" s="57" t="s">
        <v>15</v>
      </c>
      <c r="H234" s="57">
        <v>11260</v>
      </c>
      <c r="I234" s="57" t="s">
        <v>35</v>
      </c>
      <c r="J234" s="5" t="s">
        <v>62</v>
      </c>
      <c r="K234" s="5">
        <v>9157.2999999999993</v>
      </c>
      <c r="L234" s="5"/>
      <c r="M234" s="83">
        <v>39170980</v>
      </c>
      <c r="N234" s="94">
        <f>O234-O235</f>
        <v>25200979.32</v>
      </c>
      <c r="O234" s="89">
        <v>39170980</v>
      </c>
      <c r="P234" s="74">
        <f t="shared" si="88"/>
        <v>100</v>
      </c>
      <c r="Q234" s="20"/>
      <c r="R234" s="20"/>
      <c r="S234" s="20"/>
      <c r="T234" s="20"/>
      <c r="U234" s="20"/>
      <c r="V234" s="20"/>
    </row>
    <row r="235" spans="1:22" s="11" customFormat="1" ht="36.75" hidden="1" customHeight="1" x14ac:dyDescent="0.2">
      <c r="A235" s="52" t="s">
        <v>191</v>
      </c>
      <c r="B235" s="57"/>
      <c r="C235" s="57"/>
      <c r="D235" s="57"/>
      <c r="E235" s="57"/>
      <c r="F235" s="57"/>
      <c r="G235" s="57"/>
      <c r="H235" s="57"/>
      <c r="I235" s="57"/>
      <c r="J235" s="5"/>
      <c r="K235" s="5"/>
      <c r="L235" s="5"/>
      <c r="M235" s="83">
        <v>13970000.68</v>
      </c>
      <c r="N235" s="94">
        <v>0</v>
      </c>
      <c r="O235" s="89">
        <v>13970000.68</v>
      </c>
      <c r="P235" s="74">
        <f t="shared" si="88"/>
        <v>100</v>
      </c>
      <c r="Q235" s="20"/>
      <c r="R235" s="20"/>
      <c r="S235" s="20"/>
      <c r="T235" s="20"/>
      <c r="U235" s="20"/>
      <c r="V235" s="20"/>
    </row>
    <row r="236" spans="1:22" s="11" customFormat="1" ht="36" hidden="1" customHeight="1" x14ac:dyDescent="0.2">
      <c r="A236" s="46" t="s">
        <v>306</v>
      </c>
      <c r="B236" s="62" t="s">
        <v>54</v>
      </c>
      <c r="C236" s="62">
        <v>0</v>
      </c>
      <c r="D236" s="57">
        <v>14</v>
      </c>
      <c r="E236" s="62" t="s">
        <v>32</v>
      </c>
      <c r="F236" s="62" t="s">
        <v>14</v>
      </c>
      <c r="G236" s="62" t="s">
        <v>15</v>
      </c>
      <c r="H236" s="57">
        <v>11260</v>
      </c>
      <c r="I236" s="62" t="s">
        <v>35</v>
      </c>
      <c r="J236" s="5" t="s">
        <v>118</v>
      </c>
      <c r="K236" s="4">
        <v>2636.11</v>
      </c>
      <c r="L236" s="18"/>
      <c r="M236" s="83">
        <v>4708466</v>
      </c>
      <c r="N236" s="94">
        <f>O236</f>
        <v>4708466</v>
      </c>
      <c r="O236" s="89">
        <v>4708466</v>
      </c>
      <c r="P236" s="74">
        <f t="shared" si="88"/>
        <v>100</v>
      </c>
      <c r="Q236" s="20"/>
      <c r="R236" s="20"/>
      <c r="S236" s="20"/>
      <c r="T236" s="20"/>
      <c r="U236" s="20"/>
      <c r="V236" s="20"/>
    </row>
    <row r="237" spans="1:22" s="11" customFormat="1" ht="24.75" hidden="1" customHeight="1" x14ac:dyDescent="0.2">
      <c r="A237" s="46" t="s">
        <v>246</v>
      </c>
      <c r="B237" s="62">
        <v>25</v>
      </c>
      <c r="C237" s="62">
        <v>0</v>
      </c>
      <c r="D237" s="57">
        <v>14</v>
      </c>
      <c r="E237" s="62" t="s">
        <v>32</v>
      </c>
      <c r="F237" s="62" t="s">
        <v>14</v>
      </c>
      <c r="G237" s="62" t="s">
        <v>15</v>
      </c>
      <c r="H237" s="57">
        <v>11260</v>
      </c>
      <c r="I237" s="62" t="s">
        <v>35</v>
      </c>
      <c r="J237" s="19"/>
      <c r="K237" s="18"/>
      <c r="L237" s="19"/>
      <c r="M237" s="83">
        <v>27765000.329999998</v>
      </c>
      <c r="N237" s="94">
        <f>O237</f>
        <v>27765000.329999998</v>
      </c>
      <c r="O237" s="89">
        <v>27765000.329999998</v>
      </c>
      <c r="P237" s="74">
        <f t="shared" si="88"/>
        <v>100</v>
      </c>
      <c r="Q237" s="20"/>
      <c r="R237" s="20"/>
      <c r="S237" s="20"/>
      <c r="T237" s="20"/>
      <c r="U237" s="20"/>
      <c r="V237" s="20"/>
    </row>
    <row r="238" spans="1:22" ht="18.75" hidden="1" customHeight="1" x14ac:dyDescent="0.2">
      <c r="A238" s="43" t="s">
        <v>57</v>
      </c>
      <c r="B238" s="58" t="s">
        <v>54</v>
      </c>
      <c r="C238" s="58">
        <v>0</v>
      </c>
      <c r="D238" s="58">
        <v>14</v>
      </c>
      <c r="E238" s="58" t="s">
        <v>32</v>
      </c>
      <c r="F238" s="58" t="s">
        <v>14</v>
      </c>
      <c r="G238" s="58" t="s">
        <v>16</v>
      </c>
      <c r="H238" s="58" t="s">
        <v>0</v>
      </c>
      <c r="I238" s="58" t="s">
        <v>0</v>
      </c>
      <c r="J238" s="7"/>
      <c r="K238" s="7"/>
      <c r="L238" s="7"/>
      <c r="M238" s="79">
        <f>M239+M240</f>
        <v>20657326.43</v>
      </c>
      <c r="N238" s="79">
        <f t="shared" ref="N238:O238" si="99">N239+N240</f>
        <v>10658165.02</v>
      </c>
      <c r="O238" s="79">
        <f t="shared" si="99"/>
        <v>20657325.59</v>
      </c>
      <c r="P238" s="75">
        <f t="shared" si="88"/>
        <v>99.99999593364609</v>
      </c>
      <c r="Q238" s="20"/>
      <c r="R238" s="20"/>
      <c r="S238" s="20"/>
      <c r="T238" s="20"/>
      <c r="U238" s="20"/>
      <c r="V238" s="20"/>
    </row>
    <row r="239" spans="1:22" ht="39.75" hidden="1" customHeight="1" x14ac:dyDescent="0.2">
      <c r="A239" s="43" t="s">
        <v>33</v>
      </c>
      <c r="B239" s="58" t="s">
        <v>54</v>
      </c>
      <c r="C239" s="58">
        <v>0</v>
      </c>
      <c r="D239" s="58">
        <v>14</v>
      </c>
      <c r="E239" s="58" t="s">
        <v>32</v>
      </c>
      <c r="F239" s="58" t="s">
        <v>14</v>
      </c>
      <c r="G239" s="58" t="s">
        <v>16</v>
      </c>
      <c r="H239" s="58">
        <v>11260</v>
      </c>
      <c r="I239" s="58" t="s">
        <v>0</v>
      </c>
      <c r="J239" s="7"/>
      <c r="K239" s="7"/>
      <c r="L239" s="7"/>
      <c r="M239" s="79">
        <f>M241</f>
        <v>13270963.83</v>
      </c>
      <c r="N239" s="79">
        <f t="shared" ref="N239:O239" si="100">N241</f>
        <v>3271803.26</v>
      </c>
      <c r="O239" s="79">
        <f t="shared" si="100"/>
        <v>13270963.83</v>
      </c>
      <c r="P239" s="75">
        <f t="shared" si="88"/>
        <v>100</v>
      </c>
      <c r="Q239" s="20"/>
      <c r="R239" s="20"/>
      <c r="S239" s="20"/>
      <c r="T239" s="20"/>
      <c r="U239" s="20"/>
      <c r="V239" s="20"/>
    </row>
    <row r="240" spans="1:22" s="12" customFormat="1" ht="86.25" hidden="1" customHeight="1" x14ac:dyDescent="0.2">
      <c r="A240" s="43" t="s">
        <v>261</v>
      </c>
      <c r="B240" s="58" t="s">
        <v>54</v>
      </c>
      <c r="C240" s="58">
        <v>0</v>
      </c>
      <c r="D240" s="58">
        <v>14</v>
      </c>
      <c r="E240" s="58" t="s">
        <v>32</v>
      </c>
      <c r="F240" s="58" t="s">
        <v>14</v>
      </c>
      <c r="G240" s="58" t="s">
        <v>16</v>
      </c>
      <c r="H240" s="58" t="s">
        <v>260</v>
      </c>
      <c r="I240" s="58"/>
      <c r="J240" s="7"/>
      <c r="K240" s="7"/>
      <c r="L240" s="7"/>
      <c r="M240" s="79">
        <f>M242</f>
        <v>7386362.5999999996</v>
      </c>
      <c r="N240" s="79">
        <f t="shared" ref="N240:O240" si="101">N242</f>
        <v>7386361.7599999998</v>
      </c>
      <c r="O240" s="79">
        <f t="shared" si="101"/>
        <v>7386361.7599999998</v>
      </c>
      <c r="P240" s="75">
        <f t="shared" si="88"/>
        <v>99.999988627690712</v>
      </c>
      <c r="Q240" s="20"/>
      <c r="R240" s="20"/>
      <c r="S240" s="20"/>
      <c r="T240" s="20"/>
      <c r="U240" s="20"/>
      <c r="V240" s="20"/>
    </row>
    <row r="241" spans="1:22" ht="27" hidden="1" customHeight="1" x14ac:dyDescent="0.2">
      <c r="A241" s="227" t="s">
        <v>34</v>
      </c>
      <c r="B241" s="58" t="s">
        <v>54</v>
      </c>
      <c r="C241" s="58">
        <v>0</v>
      </c>
      <c r="D241" s="58">
        <v>14</v>
      </c>
      <c r="E241" s="58" t="s">
        <v>32</v>
      </c>
      <c r="F241" s="58" t="s">
        <v>14</v>
      </c>
      <c r="G241" s="58" t="s">
        <v>16</v>
      </c>
      <c r="H241" s="58">
        <v>11260</v>
      </c>
      <c r="I241" s="58" t="s">
        <v>35</v>
      </c>
      <c r="J241" s="7"/>
      <c r="K241" s="7"/>
      <c r="L241" s="7"/>
      <c r="M241" s="79">
        <f>M244</f>
        <v>13270963.83</v>
      </c>
      <c r="N241" s="79">
        <f t="shared" ref="N241:O241" si="102">N244</f>
        <v>3271803.26</v>
      </c>
      <c r="O241" s="79">
        <f t="shared" si="102"/>
        <v>13270963.83</v>
      </c>
      <c r="P241" s="75">
        <f t="shared" si="88"/>
        <v>100</v>
      </c>
      <c r="Q241" s="20"/>
      <c r="R241" s="20"/>
      <c r="S241" s="20"/>
      <c r="T241" s="20"/>
      <c r="U241" s="20"/>
      <c r="V241" s="20"/>
    </row>
    <row r="242" spans="1:22" s="12" customFormat="1" ht="23.25" hidden="1" customHeight="1" x14ac:dyDescent="0.2">
      <c r="A242" s="227"/>
      <c r="B242" s="58" t="s">
        <v>54</v>
      </c>
      <c r="C242" s="58">
        <v>0</v>
      </c>
      <c r="D242" s="58">
        <v>14</v>
      </c>
      <c r="E242" s="58" t="s">
        <v>32</v>
      </c>
      <c r="F242" s="58" t="s">
        <v>14</v>
      </c>
      <c r="G242" s="58" t="s">
        <v>16</v>
      </c>
      <c r="H242" s="58" t="s">
        <v>260</v>
      </c>
      <c r="I242" s="58" t="s">
        <v>35</v>
      </c>
      <c r="J242" s="7"/>
      <c r="K242" s="7"/>
      <c r="L242" s="7"/>
      <c r="M242" s="79">
        <f>M243</f>
        <v>7386362.5999999996</v>
      </c>
      <c r="N242" s="79">
        <f t="shared" ref="N242:O242" si="103">N243</f>
        <v>7386361.7599999998</v>
      </c>
      <c r="O242" s="79">
        <f t="shared" si="103"/>
        <v>7386361.7599999998</v>
      </c>
      <c r="P242" s="75">
        <f t="shared" si="88"/>
        <v>99.999988627690712</v>
      </c>
      <c r="Q242" s="20"/>
      <c r="R242" s="20"/>
      <c r="S242" s="20"/>
      <c r="T242" s="20"/>
      <c r="U242" s="20"/>
      <c r="V242" s="20"/>
    </row>
    <row r="243" spans="1:22" s="12" customFormat="1" ht="41.25" hidden="1" customHeight="1" x14ac:dyDescent="0.2">
      <c r="A243" s="42" t="s">
        <v>291</v>
      </c>
      <c r="B243" s="57" t="s">
        <v>54</v>
      </c>
      <c r="C243" s="57">
        <v>0</v>
      </c>
      <c r="D243" s="57">
        <v>14</v>
      </c>
      <c r="E243" s="57" t="s">
        <v>32</v>
      </c>
      <c r="F243" s="57" t="s">
        <v>14</v>
      </c>
      <c r="G243" s="57" t="s">
        <v>16</v>
      </c>
      <c r="H243" s="57" t="s">
        <v>260</v>
      </c>
      <c r="I243" s="57" t="s">
        <v>35</v>
      </c>
      <c r="J243" s="5" t="s">
        <v>118</v>
      </c>
      <c r="K243" s="4">
        <v>6869</v>
      </c>
      <c r="L243" s="19" t="s">
        <v>223</v>
      </c>
      <c r="M243" s="83">
        <f>5000000+2256362.6+130000</f>
        <v>7386362.5999999996</v>
      </c>
      <c r="N243" s="94">
        <f>O243</f>
        <v>7386361.7599999998</v>
      </c>
      <c r="O243" s="89">
        <v>7386361.7599999998</v>
      </c>
      <c r="P243" s="74">
        <f t="shared" si="88"/>
        <v>99.999988627690712</v>
      </c>
      <c r="Q243" s="20"/>
      <c r="R243" s="20"/>
      <c r="S243" s="20"/>
      <c r="T243" s="20"/>
      <c r="U243" s="20"/>
      <c r="V243" s="20"/>
    </row>
    <row r="244" spans="1:22" ht="25.5" hidden="1" customHeight="1" x14ac:dyDescent="0.2">
      <c r="A244" s="46" t="s">
        <v>155</v>
      </c>
      <c r="B244" s="57" t="s">
        <v>54</v>
      </c>
      <c r="C244" s="57">
        <v>0</v>
      </c>
      <c r="D244" s="57">
        <v>14</v>
      </c>
      <c r="E244" s="57" t="s">
        <v>32</v>
      </c>
      <c r="F244" s="57" t="s">
        <v>14</v>
      </c>
      <c r="G244" s="57" t="s">
        <v>16</v>
      </c>
      <c r="H244" s="57">
        <v>11260</v>
      </c>
      <c r="I244" s="57" t="s">
        <v>35</v>
      </c>
      <c r="J244" s="5" t="s">
        <v>78</v>
      </c>
      <c r="K244" s="4">
        <v>24</v>
      </c>
      <c r="L244" s="18"/>
      <c r="M244" s="83">
        <f>13552782-281818-0.17</f>
        <v>13270963.83</v>
      </c>
      <c r="N244" s="94">
        <f>O244-O245</f>
        <v>3271803.26</v>
      </c>
      <c r="O244" s="89">
        <v>13270963.83</v>
      </c>
      <c r="P244" s="74">
        <f t="shared" si="88"/>
        <v>100</v>
      </c>
      <c r="Q244" s="20"/>
      <c r="R244" s="20"/>
      <c r="S244" s="20"/>
      <c r="T244" s="20"/>
      <c r="U244" s="20"/>
      <c r="V244" s="20"/>
    </row>
    <row r="245" spans="1:22" s="12" customFormat="1" ht="36" hidden="1" customHeight="1" x14ac:dyDescent="0.2">
      <c r="A245" s="52" t="s">
        <v>225</v>
      </c>
      <c r="B245" s="57"/>
      <c r="C245" s="57"/>
      <c r="D245" s="57"/>
      <c r="E245" s="57"/>
      <c r="F245" s="57"/>
      <c r="G245" s="57"/>
      <c r="H245" s="57"/>
      <c r="I245" s="57"/>
      <c r="J245" s="5"/>
      <c r="K245" s="4"/>
      <c r="L245" s="18"/>
      <c r="M245" s="81">
        <f>5230159.9+4769000.67</f>
        <v>9999160.5700000003</v>
      </c>
      <c r="N245" s="94">
        <v>0</v>
      </c>
      <c r="O245" s="89">
        <v>9999160.5700000003</v>
      </c>
      <c r="P245" s="74">
        <f t="shared" si="88"/>
        <v>100</v>
      </c>
      <c r="Q245" s="20"/>
      <c r="R245" s="20"/>
      <c r="S245" s="20"/>
      <c r="T245" s="20"/>
      <c r="U245" s="20"/>
      <c r="V245" s="20"/>
    </row>
    <row r="246" spans="1:22" s="12" customFormat="1" ht="24" hidden="1" customHeight="1" x14ac:dyDescent="0.2">
      <c r="A246" s="43" t="s">
        <v>169</v>
      </c>
      <c r="B246" s="58" t="s">
        <v>54</v>
      </c>
      <c r="C246" s="58">
        <v>0</v>
      </c>
      <c r="D246" s="58">
        <v>14</v>
      </c>
      <c r="E246" s="58">
        <v>825</v>
      </c>
      <c r="F246" s="57"/>
      <c r="G246" s="57"/>
      <c r="H246" s="57"/>
      <c r="I246" s="57"/>
      <c r="J246" s="5"/>
      <c r="K246" s="4"/>
      <c r="L246" s="18"/>
      <c r="M246" s="79">
        <f>M247</f>
        <v>100000</v>
      </c>
      <c r="N246" s="79">
        <f t="shared" ref="N246:O246" si="104">N247</f>
        <v>0</v>
      </c>
      <c r="O246" s="79">
        <f t="shared" si="104"/>
        <v>0</v>
      </c>
      <c r="P246" s="75">
        <f t="shared" si="88"/>
        <v>0</v>
      </c>
      <c r="Q246" s="20"/>
      <c r="R246" s="20"/>
      <c r="S246" s="20"/>
      <c r="T246" s="20"/>
      <c r="U246" s="20"/>
      <c r="V246" s="20"/>
    </row>
    <row r="247" spans="1:22" s="12" customFormat="1" ht="24" hidden="1" customHeight="1" x14ac:dyDescent="0.2">
      <c r="A247" s="43" t="s">
        <v>170</v>
      </c>
      <c r="B247" s="58">
        <v>25</v>
      </c>
      <c r="C247" s="58">
        <v>0</v>
      </c>
      <c r="D247" s="58">
        <v>14</v>
      </c>
      <c r="E247" s="58">
        <v>825</v>
      </c>
      <c r="F247" s="57"/>
      <c r="G247" s="57"/>
      <c r="H247" s="57"/>
      <c r="I247" s="57"/>
      <c r="J247" s="5"/>
      <c r="K247" s="4"/>
      <c r="L247" s="18"/>
      <c r="M247" s="79">
        <f>M249</f>
        <v>100000</v>
      </c>
      <c r="N247" s="79">
        <f t="shared" ref="N247:O247" si="105">N249</f>
        <v>0</v>
      </c>
      <c r="O247" s="79">
        <f t="shared" si="105"/>
        <v>0</v>
      </c>
      <c r="P247" s="75">
        <f t="shared" si="88"/>
        <v>0</v>
      </c>
      <c r="Q247" s="20"/>
      <c r="R247" s="20"/>
      <c r="S247" s="20"/>
      <c r="T247" s="20"/>
      <c r="U247" s="20"/>
      <c r="V247" s="20"/>
    </row>
    <row r="248" spans="1:22" s="12" customFormat="1" ht="20.25" hidden="1" customHeight="1" x14ac:dyDescent="0.2">
      <c r="A248" s="43" t="s">
        <v>55</v>
      </c>
      <c r="B248" s="58" t="s">
        <v>54</v>
      </c>
      <c r="C248" s="58">
        <v>0</v>
      </c>
      <c r="D248" s="58">
        <v>14</v>
      </c>
      <c r="E248" s="58">
        <v>825</v>
      </c>
      <c r="F248" s="58" t="s">
        <v>14</v>
      </c>
      <c r="G248" s="58" t="s">
        <v>0</v>
      </c>
      <c r="H248" s="58" t="s">
        <v>0</v>
      </c>
      <c r="I248" s="58" t="s">
        <v>0</v>
      </c>
      <c r="J248" s="7"/>
      <c r="K248" s="7"/>
      <c r="L248" s="7"/>
      <c r="M248" s="79">
        <f>M249</f>
        <v>100000</v>
      </c>
      <c r="N248" s="79">
        <f t="shared" ref="N248:O250" si="106">N249</f>
        <v>0</v>
      </c>
      <c r="O248" s="79">
        <f t="shared" si="106"/>
        <v>0</v>
      </c>
      <c r="P248" s="75">
        <f t="shared" si="88"/>
        <v>0</v>
      </c>
      <c r="Q248" s="20"/>
      <c r="R248" s="20"/>
      <c r="S248" s="20"/>
      <c r="T248" s="20"/>
      <c r="U248" s="20"/>
      <c r="V248" s="20"/>
    </row>
    <row r="249" spans="1:22" s="12" customFormat="1" ht="12.75" hidden="1" customHeight="1" x14ac:dyDescent="0.2">
      <c r="A249" s="43" t="s">
        <v>57</v>
      </c>
      <c r="B249" s="58" t="s">
        <v>54</v>
      </c>
      <c r="C249" s="58">
        <v>0</v>
      </c>
      <c r="D249" s="58">
        <v>14</v>
      </c>
      <c r="E249" s="58">
        <v>825</v>
      </c>
      <c r="F249" s="58" t="s">
        <v>14</v>
      </c>
      <c r="G249" s="58" t="s">
        <v>16</v>
      </c>
      <c r="H249" s="58" t="s">
        <v>0</v>
      </c>
      <c r="I249" s="58" t="s">
        <v>0</v>
      </c>
      <c r="J249" s="5"/>
      <c r="K249" s="4"/>
      <c r="L249" s="18"/>
      <c r="M249" s="79">
        <f>M250</f>
        <v>100000</v>
      </c>
      <c r="N249" s="79">
        <f t="shared" si="106"/>
        <v>0</v>
      </c>
      <c r="O249" s="79">
        <f t="shared" si="106"/>
        <v>0</v>
      </c>
      <c r="P249" s="75">
        <f t="shared" si="88"/>
        <v>0</v>
      </c>
      <c r="Q249" s="20"/>
      <c r="R249" s="20"/>
      <c r="S249" s="20"/>
      <c r="T249" s="20"/>
      <c r="U249" s="20"/>
      <c r="V249" s="20"/>
    </row>
    <row r="250" spans="1:22" s="12" customFormat="1" ht="36" hidden="1" customHeight="1" x14ac:dyDescent="0.2">
      <c r="A250" s="43" t="s">
        <v>33</v>
      </c>
      <c r="B250" s="58" t="s">
        <v>54</v>
      </c>
      <c r="C250" s="58">
        <v>0</v>
      </c>
      <c r="D250" s="58">
        <v>14</v>
      </c>
      <c r="E250" s="58">
        <v>825</v>
      </c>
      <c r="F250" s="58" t="s">
        <v>14</v>
      </c>
      <c r="G250" s="58" t="s">
        <v>16</v>
      </c>
      <c r="H250" s="58">
        <v>1411260</v>
      </c>
      <c r="I250" s="58" t="s">
        <v>0</v>
      </c>
      <c r="J250" s="5"/>
      <c r="K250" s="4"/>
      <c r="L250" s="18"/>
      <c r="M250" s="79">
        <f>M251</f>
        <v>100000</v>
      </c>
      <c r="N250" s="79">
        <f t="shared" si="106"/>
        <v>0</v>
      </c>
      <c r="O250" s="79">
        <f t="shared" si="106"/>
        <v>0</v>
      </c>
      <c r="P250" s="75">
        <f t="shared" si="88"/>
        <v>0</v>
      </c>
      <c r="Q250" s="20"/>
      <c r="R250" s="20"/>
      <c r="S250" s="20"/>
      <c r="T250" s="20"/>
      <c r="U250" s="20"/>
      <c r="V250" s="20"/>
    </row>
    <row r="251" spans="1:22" s="12" customFormat="1" ht="72" hidden="1" customHeight="1" x14ac:dyDescent="0.2">
      <c r="A251" s="43" t="s">
        <v>171</v>
      </c>
      <c r="B251" s="58" t="s">
        <v>54</v>
      </c>
      <c r="C251" s="58">
        <v>0</v>
      </c>
      <c r="D251" s="58">
        <v>14</v>
      </c>
      <c r="E251" s="58">
        <v>825</v>
      </c>
      <c r="F251" s="58" t="s">
        <v>14</v>
      </c>
      <c r="G251" s="58" t="s">
        <v>16</v>
      </c>
      <c r="H251" s="58">
        <v>1411260</v>
      </c>
      <c r="I251" s="58">
        <v>465</v>
      </c>
      <c r="J251" s="5"/>
      <c r="K251" s="4"/>
      <c r="L251" s="18"/>
      <c r="M251" s="79">
        <f>M252+M253</f>
        <v>100000</v>
      </c>
      <c r="N251" s="79">
        <f t="shared" ref="N251:O251" si="107">N252+N253</f>
        <v>0</v>
      </c>
      <c r="O251" s="79">
        <f t="shared" si="107"/>
        <v>0</v>
      </c>
      <c r="P251" s="75">
        <f t="shared" si="88"/>
        <v>0</v>
      </c>
      <c r="Q251" s="20"/>
      <c r="R251" s="20"/>
      <c r="S251" s="20"/>
      <c r="T251" s="20"/>
      <c r="U251" s="20"/>
      <c r="V251" s="20"/>
    </row>
    <row r="252" spans="1:22" s="12" customFormat="1" ht="48" hidden="1" customHeight="1" x14ac:dyDescent="0.2">
      <c r="A252" s="47" t="s">
        <v>413</v>
      </c>
      <c r="B252" s="57" t="s">
        <v>54</v>
      </c>
      <c r="C252" s="57">
        <v>0</v>
      </c>
      <c r="D252" s="57">
        <v>14</v>
      </c>
      <c r="E252" s="57">
        <v>825</v>
      </c>
      <c r="F252" s="57" t="s">
        <v>14</v>
      </c>
      <c r="G252" s="57" t="s">
        <v>16</v>
      </c>
      <c r="H252" s="57">
        <v>1411260</v>
      </c>
      <c r="I252" s="57">
        <v>465</v>
      </c>
      <c r="J252" s="5"/>
      <c r="K252" s="4"/>
      <c r="L252" s="18"/>
      <c r="M252" s="83">
        <v>50000</v>
      </c>
      <c r="N252" s="94">
        <v>0</v>
      </c>
      <c r="O252" s="94">
        <v>0</v>
      </c>
      <c r="P252" s="74">
        <f t="shared" si="88"/>
        <v>0</v>
      </c>
      <c r="Q252" s="20"/>
      <c r="R252" s="20"/>
      <c r="S252" s="20"/>
      <c r="T252" s="20"/>
      <c r="U252" s="20"/>
      <c r="V252" s="20"/>
    </row>
    <row r="253" spans="1:22" s="12" customFormat="1" ht="36" hidden="1" customHeight="1" x14ac:dyDescent="0.2">
      <c r="A253" s="47" t="s">
        <v>258</v>
      </c>
      <c r="B253" s="57">
        <v>25</v>
      </c>
      <c r="C253" s="57">
        <v>0</v>
      </c>
      <c r="D253" s="57">
        <v>14</v>
      </c>
      <c r="E253" s="57">
        <v>825</v>
      </c>
      <c r="F253" s="57" t="s">
        <v>14</v>
      </c>
      <c r="G253" s="57" t="s">
        <v>16</v>
      </c>
      <c r="H253" s="57">
        <v>1411260</v>
      </c>
      <c r="I253" s="57">
        <v>465</v>
      </c>
      <c r="J253" s="5" t="s">
        <v>63</v>
      </c>
      <c r="K253" s="4">
        <v>260</v>
      </c>
      <c r="L253" s="18">
        <v>2017</v>
      </c>
      <c r="M253" s="83">
        <v>50000</v>
      </c>
      <c r="N253" s="94">
        <v>0</v>
      </c>
      <c r="O253" s="94">
        <v>0</v>
      </c>
      <c r="P253" s="74">
        <f t="shared" si="88"/>
        <v>0</v>
      </c>
      <c r="Q253" s="20"/>
      <c r="R253" s="20"/>
      <c r="S253" s="20"/>
      <c r="T253" s="20"/>
      <c r="U253" s="20"/>
      <c r="V253" s="20"/>
    </row>
    <row r="254" spans="1:22" ht="48" hidden="1" customHeight="1" x14ac:dyDescent="0.2">
      <c r="A254" s="41" t="s">
        <v>308</v>
      </c>
      <c r="B254" s="58">
        <v>40</v>
      </c>
      <c r="C254" s="57"/>
      <c r="D254" s="57"/>
      <c r="E254" s="57"/>
      <c r="F254" s="57"/>
      <c r="G254" s="57"/>
      <c r="H254" s="57"/>
      <c r="I254" s="57"/>
      <c r="J254" s="4"/>
      <c r="K254" s="4"/>
      <c r="L254" s="18"/>
      <c r="M254" s="79">
        <f>M255</f>
        <v>22710276.789999999</v>
      </c>
      <c r="N254" s="79">
        <f t="shared" ref="N254:O256" si="108">N255</f>
        <v>22680411.600000001</v>
      </c>
      <c r="O254" s="79">
        <f t="shared" si="108"/>
        <v>22680411.600000001</v>
      </c>
      <c r="P254" s="75">
        <f t="shared" si="88"/>
        <v>99.868494821634457</v>
      </c>
      <c r="Q254" s="20"/>
      <c r="R254" s="20"/>
      <c r="S254" s="20"/>
      <c r="T254" s="20"/>
      <c r="U254" s="20"/>
      <c r="V254" s="20"/>
    </row>
    <row r="255" spans="1:22" s="12" customFormat="1" ht="39" hidden="1" customHeight="1" x14ac:dyDescent="0.2">
      <c r="A255" s="41" t="s">
        <v>309</v>
      </c>
      <c r="B255" s="58">
        <v>40</v>
      </c>
      <c r="C255" s="58">
        <v>5</v>
      </c>
      <c r="D255" s="58"/>
      <c r="E255" s="57"/>
      <c r="F255" s="57"/>
      <c r="G255" s="57"/>
      <c r="H255" s="57"/>
      <c r="I255" s="57"/>
      <c r="J255" s="4"/>
      <c r="K255" s="4"/>
      <c r="L255" s="18"/>
      <c r="M255" s="79">
        <f>M256</f>
        <v>22710276.789999999</v>
      </c>
      <c r="N255" s="79">
        <f t="shared" si="108"/>
        <v>22680411.600000001</v>
      </c>
      <c r="O255" s="79">
        <f t="shared" si="108"/>
        <v>22680411.600000001</v>
      </c>
      <c r="P255" s="75">
        <f t="shared" si="88"/>
        <v>99.868494821634457</v>
      </c>
      <c r="Q255" s="20"/>
      <c r="R255" s="20"/>
      <c r="S255" s="20"/>
      <c r="T255" s="20"/>
      <c r="U255" s="20"/>
      <c r="V255" s="20"/>
    </row>
    <row r="256" spans="1:22" s="12" customFormat="1" ht="64.5" hidden="1" customHeight="1" x14ac:dyDescent="0.2">
      <c r="A256" s="41" t="s">
        <v>184</v>
      </c>
      <c r="B256" s="58">
        <v>40</v>
      </c>
      <c r="C256" s="58">
        <v>5</v>
      </c>
      <c r="D256" s="58">
        <v>51</v>
      </c>
      <c r="E256" s="57"/>
      <c r="F256" s="57"/>
      <c r="G256" s="57"/>
      <c r="H256" s="57"/>
      <c r="I256" s="57"/>
      <c r="J256" s="4"/>
      <c r="K256" s="4"/>
      <c r="L256" s="18"/>
      <c r="M256" s="79">
        <f>M257</f>
        <v>22710276.789999999</v>
      </c>
      <c r="N256" s="79">
        <f t="shared" si="108"/>
        <v>22680411.600000001</v>
      </c>
      <c r="O256" s="79">
        <f t="shared" si="108"/>
        <v>22680411.600000001</v>
      </c>
      <c r="P256" s="75">
        <f t="shared" si="88"/>
        <v>99.868494821634457</v>
      </c>
      <c r="Q256" s="20"/>
      <c r="R256" s="20"/>
      <c r="S256" s="20"/>
      <c r="T256" s="20"/>
      <c r="U256" s="20"/>
      <c r="V256" s="20"/>
    </row>
    <row r="257" spans="1:22" ht="24" hidden="1" customHeight="1" x14ac:dyDescent="0.2">
      <c r="A257" s="43" t="s">
        <v>31</v>
      </c>
      <c r="B257" s="58">
        <v>40</v>
      </c>
      <c r="C257" s="58">
        <v>5</v>
      </c>
      <c r="D257" s="58">
        <v>51</v>
      </c>
      <c r="E257" s="58">
        <v>819</v>
      </c>
      <c r="F257" s="57"/>
      <c r="G257" s="57"/>
      <c r="H257" s="57"/>
      <c r="I257" s="57"/>
      <c r="J257" s="4"/>
      <c r="K257" s="4"/>
      <c r="L257" s="18"/>
      <c r="M257" s="79">
        <f t="shared" ref="M257:O262" si="109">M258</f>
        <v>22710276.789999999</v>
      </c>
      <c r="N257" s="79">
        <f t="shared" si="109"/>
        <v>22680411.600000001</v>
      </c>
      <c r="O257" s="79">
        <f t="shared" si="109"/>
        <v>22680411.600000001</v>
      </c>
      <c r="P257" s="75">
        <f t="shared" si="88"/>
        <v>99.868494821634457</v>
      </c>
      <c r="Q257" s="20"/>
      <c r="R257" s="20"/>
      <c r="S257" s="20"/>
      <c r="T257" s="20"/>
      <c r="U257" s="20"/>
      <c r="V257" s="20"/>
    </row>
    <row r="258" spans="1:22" ht="36" hidden="1" customHeight="1" x14ac:dyDescent="0.2">
      <c r="A258" s="43" t="s">
        <v>64</v>
      </c>
      <c r="B258" s="58">
        <v>40</v>
      </c>
      <c r="C258" s="58">
        <v>5</v>
      </c>
      <c r="D258" s="58">
        <v>51</v>
      </c>
      <c r="E258" s="58">
        <v>819</v>
      </c>
      <c r="F258" s="57"/>
      <c r="G258" s="57"/>
      <c r="H258" s="57"/>
      <c r="I258" s="57"/>
      <c r="J258" s="4"/>
      <c r="K258" s="4"/>
      <c r="L258" s="18"/>
      <c r="M258" s="79">
        <f t="shared" si="109"/>
        <v>22710276.789999999</v>
      </c>
      <c r="N258" s="79">
        <f t="shared" si="109"/>
        <v>22680411.600000001</v>
      </c>
      <c r="O258" s="79">
        <f t="shared" si="109"/>
        <v>22680411.600000001</v>
      </c>
      <c r="P258" s="75">
        <f t="shared" si="88"/>
        <v>99.868494821634457</v>
      </c>
      <c r="Q258" s="20"/>
      <c r="R258" s="20"/>
      <c r="S258" s="20"/>
      <c r="T258" s="20"/>
      <c r="U258" s="20"/>
      <c r="V258" s="20"/>
    </row>
    <row r="259" spans="1:22" ht="12.75" hidden="1" customHeight="1" x14ac:dyDescent="0.2">
      <c r="A259" s="43" t="s">
        <v>19</v>
      </c>
      <c r="B259" s="58">
        <v>40</v>
      </c>
      <c r="C259" s="58">
        <v>5</v>
      </c>
      <c r="D259" s="58">
        <v>51</v>
      </c>
      <c r="E259" s="58">
        <v>819</v>
      </c>
      <c r="F259" s="59" t="s">
        <v>17</v>
      </c>
      <c r="G259" s="57"/>
      <c r="H259" s="57"/>
      <c r="I259" s="57"/>
      <c r="J259" s="4"/>
      <c r="K259" s="4"/>
      <c r="L259" s="18"/>
      <c r="M259" s="79">
        <f t="shared" si="109"/>
        <v>22710276.789999999</v>
      </c>
      <c r="N259" s="79">
        <f t="shared" si="109"/>
        <v>22680411.600000001</v>
      </c>
      <c r="O259" s="79">
        <f t="shared" si="109"/>
        <v>22680411.600000001</v>
      </c>
      <c r="P259" s="75">
        <f t="shared" si="88"/>
        <v>99.868494821634457</v>
      </c>
      <c r="Q259" s="20"/>
      <c r="R259" s="20"/>
      <c r="S259" s="20"/>
      <c r="T259" s="20"/>
      <c r="U259" s="20"/>
      <c r="V259" s="20"/>
    </row>
    <row r="260" spans="1:22" ht="24" hidden="1" customHeight="1" x14ac:dyDescent="0.2">
      <c r="A260" s="43" t="s">
        <v>94</v>
      </c>
      <c r="B260" s="58">
        <v>40</v>
      </c>
      <c r="C260" s="58">
        <v>5</v>
      </c>
      <c r="D260" s="58">
        <v>51</v>
      </c>
      <c r="E260" s="58">
        <v>819</v>
      </c>
      <c r="F260" s="59" t="s">
        <v>17</v>
      </c>
      <c r="G260" s="58">
        <v>12</v>
      </c>
      <c r="H260" s="57"/>
      <c r="I260" s="57"/>
      <c r="J260" s="4"/>
      <c r="K260" s="4"/>
      <c r="L260" s="18"/>
      <c r="M260" s="79">
        <f t="shared" si="109"/>
        <v>22710276.789999999</v>
      </c>
      <c r="N260" s="79">
        <f t="shared" si="109"/>
        <v>22680411.600000001</v>
      </c>
      <c r="O260" s="79">
        <f t="shared" si="109"/>
        <v>22680411.600000001</v>
      </c>
      <c r="P260" s="75">
        <f t="shared" si="88"/>
        <v>99.868494821634457</v>
      </c>
      <c r="Q260" s="20"/>
      <c r="R260" s="20"/>
      <c r="S260" s="20"/>
      <c r="T260" s="20"/>
      <c r="U260" s="20"/>
      <c r="V260" s="20"/>
    </row>
    <row r="261" spans="1:22" ht="24" hidden="1" customHeight="1" x14ac:dyDescent="0.2">
      <c r="A261" s="41" t="s">
        <v>310</v>
      </c>
      <c r="B261" s="58">
        <v>40</v>
      </c>
      <c r="C261" s="58">
        <v>5</v>
      </c>
      <c r="D261" s="58">
        <v>51</v>
      </c>
      <c r="E261" s="58" t="s">
        <v>32</v>
      </c>
      <c r="F261" s="59" t="s">
        <v>17</v>
      </c>
      <c r="G261" s="58">
        <v>12</v>
      </c>
      <c r="H261" s="58" t="str">
        <f>H262</f>
        <v>R1110</v>
      </c>
      <c r="I261" s="58" t="s">
        <v>0</v>
      </c>
      <c r="J261" s="4"/>
      <c r="K261" s="4"/>
      <c r="L261" s="18"/>
      <c r="M261" s="79">
        <f t="shared" si="109"/>
        <v>22710276.789999999</v>
      </c>
      <c r="N261" s="79">
        <f t="shared" si="109"/>
        <v>22680411.600000001</v>
      </c>
      <c r="O261" s="79">
        <f t="shared" si="109"/>
        <v>22680411.600000001</v>
      </c>
      <c r="P261" s="75">
        <f t="shared" si="88"/>
        <v>99.868494821634457</v>
      </c>
      <c r="Q261" s="20"/>
      <c r="R261" s="20"/>
      <c r="S261" s="20"/>
      <c r="T261" s="20"/>
      <c r="U261" s="20"/>
      <c r="V261" s="20"/>
    </row>
    <row r="262" spans="1:22" ht="48" hidden="1" customHeight="1" x14ac:dyDescent="0.2">
      <c r="A262" s="41" t="s">
        <v>34</v>
      </c>
      <c r="B262" s="58">
        <v>40</v>
      </c>
      <c r="C262" s="58">
        <v>5</v>
      </c>
      <c r="D262" s="58">
        <v>51</v>
      </c>
      <c r="E262" s="58" t="s">
        <v>32</v>
      </c>
      <c r="F262" s="59" t="s">
        <v>17</v>
      </c>
      <c r="G262" s="58">
        <v>12</v>
      </c>
      <c r="H262" s="58" t="str">
        <f>H263</f>
        <v>R1110</v>
      </c>
      <c r="I262" s="58" t="s">
        <v>35</v>
      </c>
      <c r="J262" s="5"/>
      <c r="K262" s="5"/>
      <c r="L262" s="5"/>
      <c r="M262" s="79">
        <f t="shared" si="109"/>
        <v>22710276.789999999</v>
      </c>
      <c r="N262" s="79">
        <f t="shared" si="109"/>
        <v>22680411.600000001</v>
      </c>
      <c r="O262" s="79">
        <f t="shared" si="109"/>
        <v>22680411.600000001</v>
      </c>
      <c r="P262" s="75">
        <f t="shared" si="88"/>
        <v>99.868494821634457</v>
      </c>
      <c r="Q262" s="20"/>
      <c r="R262" s="20"/>
      <c r="S262" s="20"/>
      <c r="T262" s="20"/>
      <c r="U262" s="20"/>
      <c r="V262" s="20"/>
    </row>
    <row r="263" spans="1:22" s="2" customFormat="1" ht="36" hidden="1" customHeight="1" x14ac:dyDescent="0.2">
      <c r="A263" s="56" t="s">
        <v>357</v>
      </c>
      <c r="B263" s="57">
        <v>40</v>
      </c>
      <c r="C263" s="57">
        <v>5</v>
      </c>
      <c r="D263" s="57">
        <v>51</v>
      </c>
      <c r="E263" s="57" t="s">
        <v>32</v>
      </c>
      <c r="F263" s="63" t="s">
        <v>17</v>
      </c>
      <c r="G263" s="57">
        <v>12</v>
      </c>
      <c r="H263" s="57" t="s">
        <v>307</v>
      </c>
      <c r="I263" s="57" t="s">
        <v>35</v>
      </c>
      <c r="J263" s="4" t="s">
        <v>118</v>
      </c>
      <c r="K263" s="4">
        <v>20173</v>
      </c>
      <c r="L263" s="18">
        <v>2016</v>
      </c>
      <c r="M263" s="83">
        <f>12710276.79+10000000</f>
        <v>22710276.789999999</v>
      </c>
      <c r="N263" s="94">
        <f>O263</f>
        <v>22680411.600000001</v>
      </c>
      <c r="O263" s="89">
        <v>22680411.600000001</v>
      </c>
      <c r="P263" s="74">
        <f t="shared" si="88"/>
        <v>99.868494821634457</v>
      </c>
      <c r="Q263" s="20"/>
      <c r="R263" s="20"/>
      <c r="S263" s="20"/>
      <c r="T263" s="20"/>
      <c r="U263" s="20"/>
      <c r="V263" s="20"/>
    </row>
    <row r="264" spans="1:22" s="11" customFormat="1" ht="53.25" hidden="1" customHeight="1" x14ac:dyDescent="0.3">
      <c r="A264" s="234" t="s">
        <v>426</v>
      </c>
      <c r="B264" s="234"/>
      <c r="C264" s="234"/>
      <c r="D264" s="234"/>
      <c r="E264" s="234"/>
      <c r="F264" s="234"/>
      <c r="G264" s="234"/>
      <c r="H264" s="234"/>
      <c r="I264" s="234"/>
      <c r="J264" s="234"/>
      <c r="K264" s="29"/>
      <c r="L264" s="31"/>
      <c r="M264" s="30"/>
      <c r="N264" s="20"/>
      <c r="O264" s="226" t="s">
        <v>423</v>
      </c>
      <c r="P264" s="226"/>
      <c r="Q264" s="20"/>
      <c r="R264" s="20"/>
      <c r="S264" s="20"/>
      <c r="T264" s="20"/>
      <c r="U264" s="20"/>
      <c r="V264" s="20"/>
    </row>
    <row r="265" spans="1:22" ht="44.25" hidden="1" customHeight="1" x14ac:dyDescent="0.3">
      <c r="A265" s="231" t="s">
        <v>424</v>
      </c>
      <c r="B265" s="231"/>
      <c r="C265" s="231"/>
      <c r="D265" s="32"/>
      <c r="E265" s="28"/>
      <c r="F265" s="232"/>
      <c r="G265" s="232"/>
      <c r="H265" s="232"/>
      <c r="I265" s="232"/>
      <c r="J265" s="232"/>
      <c r="K265" s="232"/>
      <c r="L265" s="232"/>
      <c r="M265" s="232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1:22" ht="20.25" hidden="1" customHeight="1" x14ac:dyDescent="0.2">
      <c r="A266" s="223" t="s">
        <v>425</v>
      </c>
      <c r="B266" s="224"/>
      <c r="C266" s="224"/>
      <c r="D266" s="21"/>
      <c r="E266" s="21"/>
      <c r="F266" s="21"/>
      <c r="G266" s="21"/>
      <c r="H266" s="21"/>
      <c r="I266" s="21"/>
      <c r="J266" s="10"/>
      <c r="K266" s="10"/>
      <c r="L266" s="6"/>
      <c r="Q266" s="20"/>
      <c r="R266" s="20"/>
      <c r="S266" s="20"/>
      <c r="T266" s="20"/>
      <c r="U266" s="20"/>
      <c r="V266" s="20"/>
    </row>
    <row r="267" spans="1:22" ht="20.25" x14ac:dyDescent="0.2">
      <c r="A267" s="24"/>
      <c r="B267" s="21"/>
      <c r="C267" s="21"/>
      <c r="D267" s="21"/>
      <c r="E267" s="21"/>
      <c r="F267" s="21"/>
      <c r="G267" s="21"/>
      <c r="H267" s="21"/>
      <c r="I267" s="21"/>
      <c r="J267" s="10"/>
      <c r="K267" s="10"/>
      <c r="L267" s="21"/>
      <c r="Q267" s="20"/>
      <c r="R267" s="20"/>
      <c r="S267" s="20"/>
      <c r="T267" s="20"/>
      <c r="U267" s="20"/>
      <c r="V267" s="20"/>
    </row>
    <row r="268" spans="1:22" ht="20.25" x14ac:dyDescent="0.2">
      <c r="A268" s="24"/>
      <c r="B268" s="21"/>
      <c r="C268" s="21"/>
      <c r="D268" s="21"/>
      <c r="E268" s="21"/>
      <c r="F268" s="21"/>
      <c r="G268" s="21"/>
      <c r="H268" s="21"/>
      <c r="I268" s="21"/>
      <c r="J268" s="10"/>
      <c r="K268" s="10"/>
      <c r="L268" s="21"/>
    </row>
    <row r="269" spans="1:22" ht="20.25" x14ac:dyDescent="0.2">
      <c r="A269" s="24"/>
      <c r="B269" s="21"/>
      <c r="C269" s="21"/>
      <c r="D269" s="21"/>
      <c r="E269" s="21"/>
      <c r="F269" s="21"/>
      <c r="G269" s="21"/>
      <c r="H269" s="21"/>
      <c r="I269" s="21"/>
      <c r="J269" s="10"/>
      <c r="K269" s="10"/>
      <c r="L269" s="21"/>
    </row>
  </sheetData>
  <autoFilter ref="A6:M266">
    <filterColumn colId="1">
      <filters>
        <filter val="16"/>
      </filters>
    </filterColumn>
  </autoFilter>
  <mergeCells count="13">
    <mergeCell ref="A265:C265"/>
    <mergeCell ref="F265:M265"/>
    <mergeCell ref="A105:A106"/>
    <mergeCell ref="A100:A101"/>
    <mergeCell ref="A181:A182"/>
    <mergeCell ref="A264:J264"/>
    <mergeCell ref="O264:P264"/>
    <mergeCell ref="A241:A242"/>
    <mergeCell ref="A5:P5"/>
    <mergeCell ref="A1:P1"/>
    <mergeCell ref="A2:P2"/>
    <mergeCell ref="A3:P3"/>
    <mergeCell ref="A4:P4"/>
  </mergeCells>
  <phoneticPr fontId="0" type="noConversion"/>
  <pageMargins left="0.19685039370078741" right="0.19685039370078741" top="0.39370078740157483" bottom="0.39370078740157483" header="0" footer="0"/>
  <pageSetup paperSize="9" scale="94" fitToHeight="0" orientation="landscape" r:id="rId1"/>
  <headerFooter>
    <oddFooter>&amp;R&amp;P</oddFooter>
  </headerFooter>
  <rowBreaks count="1" manualBreakCount="1">
    <brk id="22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5"/>
  <sheetViews>
    <sheetView tabSelected="1" view="pageBreakPreview" zoomScale="87" zoomScaleNormal="87" zoomScaleSheetLayoutView="87" workbookViewId="0">
      <pane xSplit="1" ySplit="7" topLeftCell="C15" activePane="bottomRight" state="frozen"/>
      <selection pane="topRight" activeCell="B1" sqref="B1"/>
      <selection pane="bottomLeft" activeCell="A8" sqref="A8"/>
      <selection pane="bottomRight" activeCell="A335" sqref="A335"/>
    </sheetView>
  </sheetViews>
  <sheetFormatPr defaultRowHeight="12.75" x14ac:dyDescent="0.2"/>
  <cols>
    <col min="1" max="1" width="38.1640625" style="25" customWidth="1"/>
    <col min="2" max="2" width="4.1640625" style="26" customWidth="1"/>
    <col min="3" max="3" width="4.33203125" style="26" customWidth="1"/>
    <col min="4" max="4" width="4.83203125" style="26" customWidth="1"/>
    <col min="5" max="5" width="7.1640625" style="26" customWidth="1"/>
    <col min="6" max="6" width="4.83203125" style="26" customWidth="1"/>
    <col min="7" max="7" width="5" style="26" customWidth="1"/>
    <col min="8" max="8" width="7.33203125" style="26" customWidth="1"/>
    <col min="9" max="9" width="5.6640625" style="26" customWidth="1"/>
    <col min="10" max="10" width="10.6640625" style="1" customWidth="1"/>
    <col min="11" max="11" width="8.5" style="1" customWidth="1"/>
    <col min="12" max="12" width="8.1640625" style="1" customWidth="1"/>
    <col min="13" max="13" width="18" style="20" customWidth="1"/>
    <col min="14" max="14" width="18.33203125" style="12" customWidth="1"/>
    <col min="15" max="15" width="18.1640625" style="12" customWidth="1"/>
    <col min="16" max="16" width="7.5" style="12" customWidth="1"/>
    <col min="17" max="16384" width="9.33203125" style="12"/>
  </cols>
  <sheetData>
    <row r="1" spans="1:23" ht="17.25" customHeight="1" x14ac:dyDescent="0.2">
      <c r="A1" s="229" t="s">
        <v>414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23" ht="18" customHeight="1" x14ac:dyDescent="0.3">
      <c r="A2" s="230" t="s">
        <v>415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23" ht="17.25" customHeight="1" x14ac:dyDescent="0.3">
      <c r="A3" s="230" t="s">
        <v>422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4" spans="1:23" ht="16.5" customHeight="1" x14ac:dyDescent="0.3">
      <c r="A4" s="230" t="s">
        <v>417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</row>
    <row r="5" spans="1:23" ht="16.5" customHeight="1" x14ac:dyDescent="0.2">
      <c r="A5" s="239" t="s">
        <v>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</row>
    <row r="6" spans="1:23" ht="51" x14ac:dyDescent="0.2">
      <c r="A6" s="39" t="s">
        <v>2</v>
      </c>
      <c r="B6" s="40" t="s">
        <v>3</v>
      </c>
      <c r="C6" s="40" t="s">
        <v>4</v>
      </c>
      <c r="D6" s="40" t="s">
        <v>172</v>
      </c>
      <c r="E6" s="40" t="s">
        <v>5</v>
      </c>
      <c r="F6" s="40" t="s">
        <v>6</v>
      </c>
      <c r="G6" s="40" t="s">
        <v>7</v>
      </c>
      <c r="H6" s="40" t="s">
        <v>8</v>
      </c>
      <c r="I6" s="40" t="s">
        <v>9</v>
      </c>
      <c r="J6" s="40" t="s">
        <v>59</v>
      </c>
      <c r="K6" s="40" t="s">
        <v>60</v>
      </c>
      <c r="L6" s="40" t="s">
        <v>61</v>
      </c>
      <c r="M6" s="72" t="s">
        <v>403</v>
      </c>
      <c r="N6" s="72" t="s">
        <v>404</v>
      </c>
      <c r="O6" s="72" t="s">
        <v>405</v>
      </c>
      <c r="P6" s="73" t="s">
        <v>406</v>
      </c>
      <c r="Q6" s="20"/>
      <c r="R6" s="20"/>
      <c r="S6" s="20"/>
      <c r="T6" s="20"/>
      <c r="U6" s="20"/>
      <c r="V6" s="20"/>
      <c r="W6" s="20"/>
    </row>
    <row r="7" spans="1:23" ht="16.5" customHeight="1" x14ac:dyDescent="0.2">
      <c r="A7" s="69" t="s">
        <v>10</v>
      </c>
      <c r="B7" s="70" t="s">
        <v>11</v>
      </c>
      <c r="C7" s="70" t="s">
        <v>12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6">
        <v>13</v>
      </c>
      <c r="N7" s="71">
        <v>14</v>
      </c>
      <c r="O7" s="71">
        <v>15</v>
      </c>
      <c r="P7" s="71">
        <v>16</v>
      </c>
      <c r="Q7" s="20"/>
      <c r="R7" s="20"/>
      <c r="S7" s="20"/>
      <c r="T7" s="20"/>
      <c r="U7" s="20"/>
      <c r="V7" s="20"/>
      <c r="W7" s="20"/>
    </row>
    <row r="8" spans="1:23" ht="24" customHeight="1" x14ac:dyDescent="0.2">
      <c r="A8" s="85" t="s">
        <v>79</v>
      </c>
      <c r="B8" s="95"/>
      <c r="C8" s="95"/>
      <c r="D8" s="95"/>
      <c r="E8" s="95"/>
      <c r="F8" s="95"/>
      <c r="G8" s="95"/>
      <c r="H8" s="95"/>
      <c r="I8" s="95"/>
      <c r="J8" s="96"/>
      <c r="K8" s="96"/>
      <c r="L8" s="97"/>
      <c r="M8" s="209">
        <f>M10+M19+M76+M90+M107+M126+M211+M298+M282</f>
        <v>777050654.66999996</v>
      </c>
      <c r="N8" s="209">
        <f t="shared" ref="N8:O8" si="0">N10+N19+N76+N90+N107+N126+N211+N298+N282</f>
        <v>471600817.12</v>
      </c>
      <c r="O8" s="209">
        <f t="shared" si="0"/>
        <v>709579912.96000004</v>
      </c>
      <c r="P8" s="220">
        <f>O8/M8*100</f>
        <v>91.31707292124301</v>
      </c>
      <c r="Q8" s="20"/>
      <c r="R8" s="20"/>
      <c r="S8" s="20"/>
      <c r="T8" s="20"/>
      <c r="U8" s="20"/>
      <c r="V8" s="20"/>
      <c r="W8" s="20"/>
    </row>
    <row r="9" spans="1:23" x14ac:dyDescent="0.2">
      <c r="A9" s="98" t="s">
        <v>58</v>
      </c>
      <c r="B9" s="99"/>
      <c r="C9" s="99"/>
      <c r="D9" s="99"/>
      <c r="E9" s="99"/>
      <c r="F9" s="99"/>
      <c r="G9" s="99"/>
      <c r="H9" s="99"/>
      <c r="I9" s="99"/>
      <c r="J9" s="97"/>
      <c r="K9" s="97"/>
      <c r="L9" s="97"/>
      <c r="M9" s="94"/>
      <c r="N9" s="94"/>
      <c r="O9" s="94"/>
      <c r="P9" s="220"/>
      <c r="Q9" s="20"/>
      <c r="R9" s="20"/>
      <c r="S9" s="20"/>
      <c r="T9" s="20"/>
      <c r="U9" s="20"/>
      <c r="V9" s="20"/>
      <c r="W9" s="20"/>
    </row>
    <row r="10" spans="1:23" ht="49.5" customHeight="1" x14ac:dyDescent="0.2">
      <c r="A10" s="49" t="s">
        <v>133</v>
      </c>
      <c r="B10" s="100" t="s">
        <v>20</v>
      </c>
      <c r="C10" s="101"/>
      <c r="D10" s="101"/>
      <c r="E10" s="102"/>
      <c r="F10" s="102"/>
      <c r="G10" s="102"/>
      <c r="H10" s="102"/>
      <c r="I10" s="102"/>
      <c r="J10" s="103"/>
      <c r="K10" s="103"/>
      <c r="L10" s="103"/>
      <c r="M10" s="210">
        <f>M12</f>
        <v>3982066</v>
      </c>
      <c r="N10" s="210">
        <f t="shared" ref="N10:O10" si="1">N12</f>
        <v>2147239</v>
      </c>
      <c r="O10" s="210">
        <f t="shared" si="1"/>
        <v>3982066</v>
      </c>
      <c r="P10" s="220">
        <f t="shared" ref="P10:P72" si="2">O10/M10*100</f>
        <v>100</v>
      </c>
      <c r="Q10" s="20"/>
      <c r="R10" s="20"/>
      <c r="S10" s="20"/>
      <c r="T10" s="20"/>
      <c r="U10" s="20"/>
      <c r="V10" s="20"/>
      <c r="W10" s="20"/>
    </row>
    <row r="11" spans="1:23" ht="85.5" customHeight="1" x14ac:dyDescent="0.2">
      <c r="A11" s="49" t="s">
        <v>185</v>
      </c>
      <c r="B11" s="100" t="s">
        <v>20</v>
      </c>
      <c r="C11" s="101">
        <v>0</v>
      </c>
      <c r="D11" s="101">
        <v>51</v>
      </c>
      <c r="E11" s="102"/>
      <c r="F11" s="102"/>
      <c r="G11" s="102"/>
      <c r="H11" s="102"/>
      <c r="I11" s="102"/>
      <c r="J11" s="103"/>
      <c r="K11" s="103"/>
      <c r="L11" s="103"/>
      <c r="M11" s="210">
        <f>M12</f>
        <v>3982066</v>
      </c>
      <c r="N11" s="210">
        <f t="shared" ref="N11:O11" si="3">N12</f>
        <v>2147239</v>
      </c>
      <c r="O11" s="210">
        <f t="shared" si="3"/>
        <v>3982066</v>
      </c>
      <c r="P11" s="220">
        <f t="shared" si="2"/>
        <v>100</v>
      </c>
      <c r="Q11" s="20"/>
      <c r="R11" s="20"/>
      <c r="S11" s="20"/>
      <c r="T11" s="20"/>
      <c r="U11" s="20"/>
      <c r="V11" s="20"/>
      <c r="W11" s="20"/>
    </row>
    <row r="12" spans="1:23" ht="26.25" customHeight="1" x14ac:dyDescent="0.2">
      <c r="A12" s="49" t="s">
        <v>134</v>
      </c>
      <c r="B12" s="100" t="s">
        <v>20</v>
      </c>
      <c r="C12" s="101">
        <v>0</v>
      </c>
      <c r="D12" s="101">
        <v>51</v>
      </c>
      <c r="E12" s="101">
        <v>808</v>
      </c>
      <c r="F12" s="101"/>
      <c r="G12" s="101"/>
      <c r="H12" s="101"/>
      <c r="I12" s="101"/>
      <c r="J12" s="104"/>
      <c r="K12" s="103"/>
      <c r="L12" s="103"/>
      <c r="M12" s="210">
        <f>M14</f>
        <v>3982066</v>
      </c>
      <c r="N12" s="210">
        <f t="shared" ref="N12:O12" si="4">N14</f>
        <v>2147239</v>
      </c>
      <c r="O12" s="210">
        <f t="shared" si="4"/>
        <v>3982066</v>
      </c>
      <c r="P12" s="220">
        <f t="shared" si="2"/>
        <v>100</v>
      </c>
      <c r="Q12" s="20"/>
      <c r="R12" s="20"/>
      <c r="S12" s="20"/>
      <c r="T12" s="20"/>
      <c r="U12" s="20"/>
      <c r="V12" s="20"/>
      <c r="W12" s="20"/>
    </row>
    <row r="13" spans="1:23" ht="15" customHeight="1" x14ac:dyDescent="0.2">
      <c r="A13" s="49" t="s">
        <v>138</v>
      </c>
      <c r="B13" s="101" t="s">
        <v>20</v>
      </c>
      <c r="C13" s="101">
        <v>0</v>
      </c>
      <c r="D13" s="101">
        <v>51</v>
      </c>
      <c r="E13" s="101" t="s">
        <v>136</v>
      </c>
      <c r="F13" s="101" t="s">
        <v>137</v>
      </c>
      <c r="G13" s="101"/>
      <c r="H13" s="101"/>
      <c r="I13" s="101"/>
      <c r="J13" s="104"/>
      <c r="K13" s="103"/>
      <c r="L13" s="103"/>
      <c r="M13" s="210">
        <f>M14</f>
        <v>3982066</v>
      </c>
      <c r="N13" s="210">
        <f t="shared" ref="N13:O16" si="5">N14</f>
        <v>2147239</v>
      </c>
      <c r="O13" s="210">
        <f t="shared" si="5"/>
        <v>3982066</v>
      </c>
      <c r="P13" s="220">
        <f t="shared" si="2"/>
        <v>100</v>
      </c>
      <c r="Q13" s="20"/>
      <c r="R13" s="20"/>
      <c r="S13" s="20"/>
      <c r="T13" s="20"/>
      <c r="U13" s="20"/>
      <c r="V13" s="20"/>
      <c r="W13" s="20"/>
    </row>
    <row r="14" spans="1:23" ht="25.5" customHeight="1" x14ac:dyDescent="0.2">
      <c r="A14" s="49" t="s">
        <v>135</v>
      </c>
      <c r="B14" s="101" t="s">
        <v>20</v>
      </c>
      <c r="C14" s="101">
        <v>0</v>
      </c>
      <c r="D14" s="101">
        <v>51</v>
      </c>
      <c r="E14" s="101" t="s">
        <v>136</v>
      </c>
      <c r="F14" s="101" t="s">
        <v>137</v>
      </c>
      <c r="G14" s="101" t="s">
        <v>18</v>
      </c>
      <c r="H14" s="101" t="s">
        <v>0</v>
      </c>
      <c r="I14" s="101"/>
      <c r="J14" s="104"/>
      <c r="K14" s="103"/>
      <c r="L14" s="103"/>
      <c r="M14" s="210">
        <f>M15</f>
        <v>3982066</v>
      </c>
      <c r="N14" s="210">
        <f t="shared" si="5"/>
        <v>2147239</v>
      </c>
      <c r="O14" s="210">
        <f t="shared" si="5"/>
        <v>3982066</v>
      </c>
      <c r="P14" s="220">
        <f t="shared" si="2"/>
        <v>100</v>
      </c>
      <c r="Q14" s="20"/>
      <c r="R14" s="20"/>
      <c r="S14" s="20"/>
      <c r="T14" s="20"/>
      <c r="U14" s="20"/>
      <c r="V14" s="20"/>
      <c r="W14" s="20"/>
    </row>
    <row r="15" spans="1:23" ht="49.5" customHeight="1" x14ac:dyDescent="0.2">
      <c r="A15" s="49" t="s">
        <v>80</v>
      </c>
      <c r="B15" s="101" t="s">
        <v>20</v>
      </c>
      <c r="C15" s="101">
        <v>0</v>
      </c>
      <c r="D15" s="101">
        <v>51</v>
      </c>
      <c r="E15" s="101" t="s">
        <v>136</v>
      </c>
      <c r="F15" s="101" t="s">
        <v>137</v>
      </c>
      <c r="G15" s="101" t="s">
        <v>18</v>
      </c>
      <c r="H15" s="101">
        <v>12800</v>
      </c>
      <c r="I15" s="101" t="s">
        <v>81</v>
      </c>
      <c r="J15" s="104"/>
      <c r="K15" s="104"/>
      <c r="L15" s="103"/>
      <c r="M15" s="210">
        <f>M16</f>
        <v>3982066</v>
      </c>
      <c r="N15" s="210">
        <f t="shared" si="5"/>
        <v>2147239</v>
      </c>
      <c r="O15" s="210">
        <f t="shared" si="5"/>
        <v>3982066</v>
      </c>
      <c r="P15" s="220">
        <f t="shared" si="2"/>
        <v>100</v>
      </c>
      <c r="Q15" s="20"/>
      <c r="R15" s="20"/>
      <c r="S15" s="20"/>
      <c r="T15" s="20"/>
      <c r="U15" s="20"/>
      <c r="V15" s="20"/>
      <c r="W15" s="20"/>
    </row>
    <row r="16" spans="1:23" x14ac:dyDescent="0.2">
      <c r="A16" s="105" t="s">
        <v>73</v>
      </c>
      <c r="B16" s="106"/>
      <c r="C16" s="107"/>
      <c r="D16" s="107"/>
      <c r="E16" s="106"/>
      <c r="F16" s="106"/>
      <c r="G16" s="106"/>
      <c r="H16" s="106"/>
      <c r="I16" s="106"/>
      <c r="J16" s="108"/>
      <c r="K16" s="108"/>
      <c r="L16" s="108"/>
      <c r="M16" s="211">
        <f>M17</f>
        <v>3982066</v>
      </c>
      <c r="N16" s="211">
        <f t="shared" si="5"/>
        <v>2147239</v>
      </c>
      <c r="O16" s="211">
        <f t="shared" si="5"/>
        <v>3982066</v>
      </c>
      <c r="P16" s="220">
        <f t="shared" si="2"/>
        <v>100</v>
      </c>
      <c r="Q16" s="20"/>
      <c r="R16" s="20"/>
      <c r="S16" s="20"/>
      <c r="T16" s="20"/>
      <c r="U16" s="20"/>
      <c r="V16" s="20"/>
      <c r="W16" s="20"/>
    </row>
    <row r="17" spans="1:23" ht="26.25" customHeight="1" x14ac:dyDescent="0.2">
      <c r="A17" s="109" t="s">
        <v>157</v>
      </c>
      <c r="B17" s="110" t="s">
        <v>20</v>
      </c>
      <c r="C17" s="111" t="s">
        <v>140</v>
      </c>
      <c r="D17" s="111" t="s">
        <v>186</v>
      </c>
      <c r="E17" s="110" t="s">
        <v>136</v>
      </c>
      <c r="F17" s="110" t="s">
        <v>137</v>
      </c>
      <c r="G17" s="110" t="s">
        <v>18</v>
      </c>
      <c r="H17" s="110">
        <v>12800</v>
      </c>
      <c r="I17" s="110" t="s">
        <v>81</v>
      </c>
      <c r="J17" s="112" t="s">
        <v>139</v>
      </c>
      <c r="K17" s="112">
        <v>3600</v>
      </c>
      <c r="L17" s="112">
        <v>2017</v>
      </c>
      <c r="M17" s="212">
        <v>3982066</v>
      </c>
      <c r="N17" s="94">
        <f>O17-O18</f>
        <v>2147239</v>
      </c>
      <c r="O17" s="94">
        <v>3982066</v>
      </c>
      <c r="P17" s="221">
        <f t="shared" si="2"/>
        <v>100</v>
      </c>
      <c r="Q17" s="20"/>
      <c r="R17" s="20"/>
      <c r="S17" s="20"/>
      <c r="T17" s="20"/>
      <c r="U17" s="20"/>
      <c r="V17" s="20"/>
      <c r="W17" s="20"/>
    </row>
    <row r="18" spans="1:23" ht="35.25" customHeight="1" x14ac:dyDescent="0.2">
      <c r="A18" s="113" t="s">
        <v>224</v>
      </c>
      <c r="B18" s="106"/>
      <c r="C18" s="107"/>
      <c r="D18" s="107"/>
      <c r="E18" s="106"/>
      <c r="F18" s="106"/>
      <c r="G18" s="106"/>
      <c r="H18" s="106"/>
      <c r="I18" s="106"/>
      <c r="J18" s="108"/>
      <c r="K18" s="108"/>
      <c r="L18" s="108"/>
      <c r="M18" s="212">
        <v>1834827</v>
      </c>
      <c r="N18" s="94"/>
      <c r="O18" s="94">
        <v>1834827</v>
      </c>
      <c r="P18" s="221">
        <f t="shared" si="2"/>
        <v>100</v>
      </c>
      <c r="Q18" s="20"/>
      <c r="R18" s="20"/>
      <c r="S18" s="20"/>
      <c r="T18" s="20"/>
      <c r="U18" s="20"/>
      <c r="V18" s="20"/>
      <c r="W18" s="20"/>
    </row>
    <row r="19" spans="1:23" ht="52.5" customHeight="1" x14ac:dyDescent="0.2">
      <c r="A19" s="49" t="s">
        <v>103</v>
      </c>
      <c r="B19" s="95">
        <v>12</v>
      </c>
      <c r="C19" s="95"/>
      <c r="D19" s="95"/>
      <c r="E19" s="99"/>
      <c r="F19" s="99"/>
      <c r="G19" s="99"/>
      <c r="H19" s="99"/>
      <c r="I19" s="99"/>
      <c r="J19" s="97"/>
      <c r="K19" s="114"/>
      <c r="L19" s="97"/>
      <c r="M19" s="210">
        <f t="shared" ref="M19:O25" si="6">M20</f>
        <v>57911502</v>
      </c>
      <c r="N19" s="210">
        <f t="shared" si="6"/>
        <v>44036501.169999994</v>
      </c>
      <c r="O19" s="210">
        <f t="shared" si="6"/>
        <v>56568434.169999994</v>
      </c>
      <c r="P19" s="220">
        <f t="shared" si="2"/>
        <v>97.680827152436819</v>
      </c>
      <c r="Q19" s="20"/>
      <c r="R19" s="20"/>
      <c r="S19" s="20"/>
      <c r="T19" s="20"/>
      <c r="U19" s="20"/>
      <c r="V19" s="20"/>
      <c r="W19" s="20"/>
    </row>
    <row r="20" spans="1:23" ht="26.25" customHeight="1" x14ac:dyDescent="0.2">
      <c r="A20" s="49" t="s">
        <v>107</v>
      </c>
      <c r="B20" s="95">
        <v>12</v>
      </c>
      <c r="C20" s="95">
        <v>1</v>
      </c>
      <c r="D20" s="95"/>
      <c r="E20" s="99"/>
      <c r="F20" s="99"/>
      <c r="G20" s="99"/>
      <c r="H20" s="99"/>
      <c r="I20" s="99"/>
      <c r="J20" s="97"/>
      <c r="K20" s="114"/>
      <c r="L20" s="97"/>
      <c r="M20" s="210">
        <f>M22</f>
        <v>57911502</v>
      </c>
      <c r="N20" s="210">
        <f t="shared" ref="N20:O20" si="7">N22</f>
        <v>44036501.169999994</v>
      </c>
      <c r="O20" s="210">
        <f t="shared" si="7"/>
        <v>56568434.169999994</v>
      </c>
      <c r="P20" s="220">
        <f t="shared" si="2"/>
        <v>97.680827152436819</v>
      </c>
      <c r="Q20" s="20"/>
      <c r="R20" s="20"/>
      <c r="S20" s="20"/>
      <c r="T20" s="20"/>
      <c r="U20" s="20"/>
      <c r="V20" s="20"/>
      <c r="W20" s="20"/>
    </row>
    <row r="21" spans="1:23" ht="85.5" customHeight="1" x14ac:dyDescent="0.2">
      <c r="A21" s="49" t="s">
        <v>187</v>
      </c>
      <c r="B21" s="95">
        <v>12</v>
      </c>
      <c r="C21" s="95">
        <v>1</v>
      </c>
      <c r="D21" s="95">
        <v>41</v>
      </c>
      <c r="E21" s="99"/>
      <c r="F21" s="99"/>
      <c r="G21" s="99"/>
      <c r="H21" s="99"/>
      <c r="I21" s="99"/>
      <c r="J21" s="97"/>
      <c r="K21" s="114"/>
      <c r="L21" s="97"/>
      <c r="M21" s="210">
        <f>M22</f>
        <v>57911502</v>
      </c>
      <c r="N21" s="210">
        <f t="shared" ref="N21:O21" si="8">N22</f>
        <v>44036501.169999994</v>
      </c>
      <c r="O21" s="210">
        <f t="shared" si="8"/>
        <v>56568434.169999994</v>
      </c>
      <c r="P21" s="220">
        <f t="shared" si="2"/>
        <v>97.680827152436819</v>
      </c>
      <c r="Q21" s="20"/>
      <c r="R21" s="20"/>
      <c r="S21" s="20"/>
      <c r="T21" s="20"/>
      <c r="U21" s="20"/>
      <c r="V21" s="20"/>
      <c r="W21" s="20"/>
    </row>
    <row r="22" spans="1:23" ht="51" customHeight="1" x14ac:dyDescent="0.2">
      <c r="A22" s="49" t="s">
        <v>104</v>
      </c>
      <c r="B22" s="95">
        <v>12</v>
      </c>
      <c r="C22" s="95">
        <v>1</v>
      </c>
      <c r="D22" s="95">
        <v>41</v>
      </c>
      <c r="E22" s="95">
        <v>812</v>
      </c>
      <c r="F22" s="99"/>
      <c r="G22" s="99"/>
      <c r="H22" s="99"/>
      <c r="I22" s="99"/>
      <c r="J22" s="97"/>
      <c r="K22" s="114"/>
      <c r="L22" s="97"/>
      <c r="M22" s="210">
        <f t="shared" si="6"/>
        <v>57911502</v>
      </c>
      <c r="N22" s="210">
        <f t="shared" si="6"/>
        <v>44036501.169999994</v>
      </c>
      <c r="O22" s="210">
        <f t="shared" si="6"/>
        <v>56568434.169999994</v>
      </c>
      <c r="P22" s="220">
        <f t="shared" si="2"/>
        <v>97.680827152436819</v>
      </c>
      <c r="Q22" s="20"/>
      <c r="R22" s="20"/>
      <c r="S22" s="20"/>
      <c r="T22" s="20"/>
      <c r="U22" s="20"/>
      <c r="V22" s="20"/>
      <c r="W22" s="20"/>
    </row>
    <row r="23" spans="1:23" x14ac:dyDescent="0.2">
      <c r="A23" s="49" t="s">
        <v>26</v>
      </c>
      <c r="B23" s="95">
        <v>12</v>
      </c>
      <c r="C23" s="95">
        <v>1</v>
      </c>
      <c r="D23" s="95">
        <v>41</v>
      </c>
      <c r="E23" s="95">
        <v>812</v>
      </c>
      <c r="F23" s="115" t="s">
        <v>18</v>
      </c>
      <c r="G23" s="115" t="s">
        <v>16</v>
      </c>
      <c r="H23" s="99"/>
      <c r="I23" s="99"/>
      <c r="J23" s="97"/>
      <c r="K23" s="114"/>
      <c r="L23" s="97"/>
      <c r="M23" s="210">
        <f t="shared" si="6"/>
        <v>57911502</v>
      </c>
      <c r="N23" s="210">
        <f t="shared" si="6"/>
        <v>44036501.169999994</v>
      </c>
      <c r="O23" s="210">
        <f t="shared" si="6"/>
        <v>56568434.169999994</v>
      </c>
      <c r="P23" s="220">
        <f t="shared" si="2"/>
        <v>97.680827152436819</v>
      </c>
      <c r="Q23" s="20"/>
      <c r="R23" s="20"/>
      <c r="S23" s="20"/>
      <c r="T23" s="20"/>
      <c r="U23" s="20"/>
      <c r="V23" s="20"/>
      <c r="W23" s="20"/>
    </row>
    <row r="24" spans="1:23" ht="39.75" customHeight="1" x14ac:dyDescent="0.2">
      <c r="A24" s="49" t="s">
        <v>84</v>
      </c>
      <c r="B24" s="95">
        <v>12</v>
      </c>
      <c r="C24" s="95">
        <v>1</v>
      </c>
      <c r="D24" s="95">
        <v>41</v>
      </c>
      <c r="E24" s="95">
        <v>812</v>
      </c>
      <c r="F24" s="115" t="s">
        <v>18</v>
      </c>
      <c r="G24" s="115" t="s">
        <v>16</v>
      </c>
      <c r="H24" s="116" t="s">
        <v>188</v>
      </c>
      <c r="I24" s="95"/>
      <c r="J24" s="97"/>
      <c r="K24" s="114"/>
      <c r="L24" s="97"/>
      <c r="M24" s="210">
        <f t="shared" si="6"/>
        <v>57911502</v>
      </c>
      <c r="N24" s="210">
        <f t="shared" si="6"/>
        <v>44036501.169999994</v>
      </c>
      <c r="O24" s="210">
        <f t="shared" si="6"/>
        <v>56568434.169999994</v>
      </c>
      <c r="P24" s="220">
        <f t="shared" si="2"/>
        <v>97.680827152436819</v>
      </c>
      <c r="Q24" s="20"/>
      <c r="R24" s="20"/>
      <c r="S24" s="20"/>
      <c r="T24" s="20"/>
      <c r="U24" s="20"/>
      <c r="V24" s="20"/>
      <c r="W24" s="20"/>
    </row>
    <row r="25" spans="1:23" ht="51" customHeight="1" x14ac:dyDescent="0.2">
      <c r="A25" s="49" t="s">
        <v>80</v>
      </c>
      <c r="B25" s="95">
        <v>12</v>
      </c>
      <c r="C25" s="95">
        <v>1</v>
      </c>
      <c r="D25" s="95">
        <v>41</v>
      </c>
      <c r="E25" s="95">
        <v>812</v>
      </c>
      <c r="F25" s="115" t="s">
        <v>18</v>
      </c>
      <c r="G25" s="115" t="s">
        <v>16</v>
      </c>
      <c r="H25" s="116" t="s">
        <v>188</v>
      </c>
      <c r="I25" s="95">
        <v>522</v>
      </c>
      <c r="J25" s="97"/>
      <c r="K25" s="114"/>
      <c r="L25" s="97"/>
      <c r="M25" s="210">
        <f t="shared" si="6"/>
        <v>57911502</v>
      </c>
      <c r="N25" s="210">
        <f t="shared" si="6"/>
        <v>44036501.169999994</v>
      </c>
      <c r="O25" s="210">
        <f t="shared" si="6"/>
        <v>56568434.169999994</v>
      </c>
      <c r="P25" s="220">
        <f t="shared" si="2"/>
        <v>97.680827152436819</v>
      </c>
      <c r="Q25" s="20"/>
      <c r="R25" s="20"/>
      <c r="S25" s="20"/>
      <c r="T25" s="20"/>
      <c r="U25" s="20"/>
      <c r="V25" s="20"/>
      <c r="W25" s="20"/>
    </row>
    <row r="26" spans="1:23" ht="51" customHeight="1" x14ac:dyDescent="0.2">
      <c r="A26" s="49" t="s">
        <v>112</v>
      </c>
      <c r="B26" s="95">
        <v>12</v>
      </c>
      <c r="C26" s="95">
        <v>1</v>
      </c>
      <c r="D26" s="95">
        <v>41</v>
      </c>
      <c r="E26" s="95">
        <v>812</v>
      </c>
      <c r="F26" s="115" t="s">
        <v>18</v>
      </c>
      <c r="G26" s="115" t="s">
        <v>16</v>
      </c>
      <c r="H26" s="116" t="s">
        <v>188</v>
      </c>
      <c r="I26" s="95">
        <v>522</v>
      </c>
      <c r="J26" s="97"/>
      <c r="K26" s="114"/>
      <c r="L26" s="97"/>
      <c r="M26" s="213">
        <f>M27+M34+M37+M42+M45+M47+M55+M63+M67+M71+M73+M33+M49+M53+M58+M65+M51+M61+M30</f>
        <v>57911502</v>
      </c>
      <c r="N26" s="213">
        <f t="shared" ref="N26:O26" si="9">N27+N34+N37+N42+N45+N47+N55+N63+N67+N71+N73+N33+N49+N53+N58+N65+N51+N61+N30</f>
        <v>44036501.169999994</v>
      </c>
      <c r="O26" s="213">
        <f t="shared" si="9"/>
        <v>56568434.169999994</v>
      </c>
      <c r="P26" s="220">
        <f t="shared" si="2"/>
        <v>97.680827152436819</v>
      </c>
      <c r="Q26" s="20"/>
      <c r="R26" s="20"/>
      <c r="S26" s="20"/>
      <c r="T26" s="20"/>
      <c r="U26" s="20"/>
      <c r="V26" s="20"/>
      <c r="W26" s="20"/>
    </row>
    <row r="27" spans="1:23" x14ac:dyDescent="0.2">
      <c r="A27" s="117" t="s">
        <v>200</v>
      </c>
      <c r="B27" s="95"/>
      <c r="C27" s="95"/>
      <c r="D27" s="95"/>
      <c r="E27" s="95"/>
      <c r="F27" s="115"/>
      <c r="G27" s="115"/>
      <c r="H27" s="116"/>
      <c r="I27" s="95"/>
      <c r="J27" s="97"/>
      <c r="K27" s="114"/>
      <c r="L27" s="97"/>
      <c r="M27" s="213">
        <f>M28</f>
        <v>3300000</v>
      </c>
      <c r="N27" s="213">
        <f t="shared" ref="N27:O27" si="10">N28</f>
        <v>0</v>
      </c>
      <c r="O27" s="213">
        <f t="shared" si="10"/>
        <v>3300000</v>
      </c>
      <c r="P27" s="220">
        <f t="shared" si="2"/>
        <v>100</v>
      </c>
      <c r="Q27" s="20"/>
      <c r="R27" s="20"/>
      <c r="S27" s="20"/>
      <c r="T27" s="20"/>
      <c r="U27" s="20"/>
      <c r="V27" s="20"/>
      <c r="W27" s="20"/>
    </row>
    <row r="28" spans="1:23" ht="26.25" customHeight="1" x14ac:dyDescent="0.2">
      <c r="A28" s="118" t="s">
        <v>288</v>
      </c>
      <c r="B28" s="119">
        <v>12</v>
      </c>
      <c r="C28" s="119">
        <v>1</v>
      </c>
      <c r="D28" s="119">
        <v>41</v>
      </c>
      <c r="E28" s="119">
        <v>812</v>
      </c>
      <c r="F28" s="120" t="s">
        <v>18</v>
      </c>
      <c r="G28" s="120" t="s">
        <v>16</v>
      </c>
      <c r="H28" s="120" t="s">
        <v>188</v>
      </c>
      <c r="I28" s="119">
        <v>522</v>
      </c>
      <c r="J28" s="97"/>
      <c r="K28" s="114"/>
      <c r="L28" s="97"/>
      <c r="M28" s="89">
        <v>3300000</v>
      </c>
      <c r="N28" s="222"/>
      <c r="O28" s="94">
        <v>3300000</v>
      </c>
      <c r="P28" s="221">
        <f t="shared" si="2"/>
        <v>100</v>
      </c>
      <c r="Q28" s="20"/>
      <c r="R28" s="20"/>
      <c r="S28" s="20"/>
      <c r="T28" s="20"/>
      <c r="U28" s="20"/>
      <c r="V28" s="20"/>
      <c r="W28" s="20"/>
    </row>
    <row r="29" spans="1:23" ht="39" customHeight="1" x14ac:dyDescent="0.2">
      <c r="A29" s="113" t="s">
        <v>191</v>
      </c>
      <c r="B29" s="95"/>
      <c r="C29" s="95"/>
      <c r="D29" s="95"/>
      <c r="E29" s="95"/>
      <c r="F29" s="115"/>
      <c r="G29" s="115"/>
      <c r="H29" s="116"/>
      <c r="I29" s="95"/>
      <c r="J29" s="97"/>
      <c r="K29" s="114"/>
      <c r="L29" s="97"/>
      <c r="M29" s="89">
        <v>3300000</v>
      </c>
      <c r="N29" s="222"/>
      <c r="O29" s="94">
        <v>3300000</v>
      </c>
      <c r="P29" s="221">
        <f t="shared" si="2"/>
        <v>100</v>
      </c>
      <c r="Q29" s="20"/>
      <c r="R29" s="20"/>
      <c r="S29" s="20"/>
      <c r="T29" s="20"/>
      <c r="U29" s="20"/>
      <c r="V29" s="20"/>
      <c r="W29" s="20"/>
    </row>
    <row r="30" spans="1:23" ht="16.5" customHeight="1" x14ac:dyDescent="0.2">
      <c r="A30" s="121" t="s">
        <v>363</v>
      </c>
      <c r="B30" s="122"/>
      <c r="C30" s="95"/>
      <c r="D30" s="95"/>
      <c r="E30" s="95"/>
      <c r="F30" s="115"/>
      <c r="G30" s="115"/>
      <c r="H30" s="116"/>
      <c r="I30" s="95"/>
      <c r="J30" s="97"/>
      <c r="K30" s="114"/>
      <c r="L30" s="97"/>
      <c r="M30" s="213">
        <f>M31</f>
        <v>2582141</v>
      </c>
      <c r="N30" s="213">
        <f t="shared" ref="N30:O30" si="11">N31</f>
        <v>2555096.2999999998</v>
      </c>
      <c r="O30" s="213">
        <f t="shared" si="11"/>
        <v>2555096.2999999998</v>
      </c>
      <c r="P30" s="220">
        <f t="shared" si="2"/>
        <v>98.952624972842301</v>
      </c>
      <c r="Q30" s="20"/>
      <c r="R30" s="20"/>
      <c r="S30" s="20"/>
      <c r="T30" s="20"/>
      <c r="U30" s="20"/>
      <c r="V30" s="20"/>
      <c r="W30" s="20"/>
    </row>
    <row r="31" spans="1:23" ht="37.5" customHeight="1" x14ac:dyDescent="0.2">
      <c r="A31" s="123" t="s">
        <v>364</v>
      </c>
      <c r="B31" s="119">
        <v>12</v>
      </c>
      <c r="C31" s="119">
        <v>1</v>
      </c>
      <c r="D31" s="119">
        <v>41</v>
      </c>
      <c r="E31" s="119">
        <v>812</v>
      </c>
      <c r="F31" s="120" t="s">
        <v>18</v>
      </c>
      <c r="G31" s="120" t="s">
        <v>16</v>
      </c>
      <c r="H31" s="120" t="s">
        <v>188</v>
      </c>
      <c r="I31" s="119">
        <v>522</v>
      </c>
      <c r="J31" s="124" t="s">
        <v>68</v>
      </c>
      <c r="K31" s="125">
        <v>3.08</v>
      </c>
      <c r="L31" s="103">
        <v>2016</v>
      </c>
      <c r="M31" s="89">
        <v>2582141</v>
      </c>
      <c r="N31" s="94">
        <v>2555096.2999999998</v>
      </c>
      <c r="O31" s="94">
        <v>2555096.2999999998</v>
      </c>
      <c r="P31" s="221">
        <f t="shared" si="2"/>
        <v>98.952624972842301</v>
      </c>
      <c r="Q31" s="20"/>
      <c r="R31" s="20"/>
      <c r="S31" s="20"/>
      <c r="T31" s="20"/>
      <c r="U31" s="20"/>
      <c r="V31" s="20"/>
      <c r="W31" s="20"/>
    </row>
    <row r="32" spans="1:23" ht="15.75" customHeight="1" x14ac:dyDescent="0.2">
      <c r="A32" s="117" t="s">
        <v>341</v>
      </c>
      <c r="B32" s="95"/>
      <c r="C32" s="95"/>
      <c r="D32" s="95"/>
      <c r="E32" s="95"/>
      <c r="F32" s="115"/>
      <c r="G32" s="115"/>
      <c r="H32" s="116"/>
      <c r="I32" s="95"/>
      <c r="J32" s="97"/>
      <c r="K32" s="114"/>
      <c r="L32" s="97"/>
      <c r="M32" s="213">
        <f>M33</f>
        <v>943159</v>
      </c>
      <c r="N32" s="213">
        <f t="shared" ref="N32:O32" si="12">N33</f>
        <v>943159</v>
      </c>
      <c r="O32" s="213">
        <f t="shared" si="12"/>
        <v>943159</v>
      </c>
      <c r="P32" s="220">
        <f t="shared" si="2"/>
        <v>100</v>
      </c>
      <c r="Q32" s="20"/>
      <c r="R32" s="20"/>
      <c r="S32" s="20"/>
      <c r="T32" s="20"/>
      <c r="U32" s="20"/>
      <c r="V32" s="20"/>
      <c r="W32" s="20"/>
    </row>
    <row r="33" spans="1:23" ht="50.25" customHeight="1" x14ac:dyDescent="0.2">
      <c r="A33" s="118" t="s">
        <v>342</v>
      </c>
      <c r="B33" s="119">
        <v>12</v>
      </c>
      <c r="C33" s="119">
        <v>1</v>
      </c>
      <c r="D33" s="119">
        <v>41</v>
      </c>
      <c r="E33" s="119">
        <v>812</v>
      </c>
      <c r="F33" s="120" t="s">
        <v>18</v>
      </c>
      <c r="G33" s="120" t="s">
        <v>16</v>
      </c>
      <c r="H33" s="120" t="s">
        <v>188</v>
      </c>
      <c r="I33" s="119">
        <v>522</v>
      </c>
      <c r="J33" s="97" t="s">
        <v>68</v>
      </c>
      <c r="K33" s="126">
        <v>0.82099999999999995</v>
      </c>
      <c r="L33" s="97">
        <v>2016</v>
      </c>
      <c r="M33" s="89">
        <v>943159</v>
      </c>
      <c r="N33" s="94">
        <v>943159</v>
      </c>
      <c r="O33" s="94">
        <v>943159</v>
      </c>
      <c r="P33" s="221">
        <f t="shared" si="2"/>
        <v>100</v>
      </c>
      <c r="Q33" s="20"/>
      <c r="R33" s="20"/>
      <c r="S33" s="20"/>
      <c r="T33" s="20"/>
      <c r="U33" s="20"/>
      <c r="V33" s="20"/>
      <c r="W33" s="20"/>
    </row>
    <row r="34" spans="1:23" ht="24" customHeight="1" x14ac:dyDescent="0.2">
      <c r="A34" s="127" t="s">
        <v>201</v>
      </c>
      <c r="B34" s="95"/>
      <c r="C34" s="95"/>
      <c r="D34" s="95"/>
      <c r="E34" s="95"/>
      <c r="F34" s="115"/>
      <c r="G34" s="115"/>
      <c r="H34" s="116"/>
      <c r="I34" s="95"/>
      <c r="J34" s="97"/>
      <c r="K34" s="114"/>
      <c r="L34" s="97"/>
      <c r="M34" s="213">
        <f>M35</f>
        <v>5200000</v>
      </c>
      <c r="N34" s="213">
        <f t="shared" ref="N34:O34" si="13">N35</f>
        <v>0</v>
      </c>
      <c r="O34" s="213">
        <f t="shared" si="13"/>
        <v>5200000</v>
      </c>
      <c r="P34" s="220">
        <f t="shared" si="2"/>
        <v>100</v>
      </c>
      <c r="Q34" s="20"/>
      <c r="R34" s="20"/>
      <c r="S34" s="20"/>
      <c r="T34" s="20"/>
      <c r="U34" s="20"/>
      <c r="V34" s="20"/>
      <c r="W34" s="20"/>
    </row>
    <row r="35" spans="1:23" ht="48" customHeight="1" x14ac:dyDescent="0.2">
      <c r="A35" s="128" t="s">
        <v>289</v>
      </c>
      <c r="B35" s="119">
        <v>12</v>
      </c>
      <c r="C35" s="119">
        <v>1</v>
      </c>
      <c r="D35" s="119">
        <v>41</v>
      </c>
      <c r="E35" s="119">
        <v>812</v>
      </c>
      <c r="F35" s="120" t="s">
        <v>18</v>
      </c>
      <c r="G35" s="120" t="s">
        <v>16</v>
      </c>
      <c r="H35" s="120" t="s">
        <v>188</v>
      </c>
      <c r="I35" s="119">
        <v>522</v>
      </c>
      <c r="J35" s="97"/>
      <c r="K35" s="114"/>
      <c r="L35" s="97"/>
      <c r="M35" s="89">
        <f>M36</f>
        <v>5200000</v>
      </c>
      <c r="N35" s="222"/>
      <c r="O35" s="94">
        <v>5200000</v>
      </c>
      <c r="P35" s="221">
        <f t="shared" si="2"/>
        <v>100</v>
      </c>
      <c r="Q35" s="20"/>
      <c r="R35" s="20"/>
      <c r="S35" s="20"/>
      <c r="T35" s="20"/>
      <c r="U35" s="20"/>
      <c r="V35" s="20"/>
      <c r="W35" s="20"/>
    </row>
    <row r="36" spans="1:23" ht="36.75" customHeight="1" x14ac:dyDescent="0.2">
      <c r="A36" s="129" t="s">
        <v>191</v>
      </c>
      <c r="B36" s="95"/>
      <c r="C36" s="95"/>
      <c r="D36" s="95"/>
      <c r="E36" s="95"/>
      <c r="F36" s="115"/>
      <c r="G36" s="115"/>
      <c r="H36" s="116"/>
      <c r="I36" s="95"/>
      <c r="J36" s="97"/>
      <c r="K36" s="114"/>
      <c r="L36" s="97"/>
      <c r="M36" s="89">
        <v>5200000</v>
      </c>
      <c r="N36" s="222"/>
      <c r="O36" s="94">
        <v>5200000</v>
      </c>
      <c r="P36" s="221">
        <f t="shared" si="2"/>
        <v>100</v>
      </c>
      <c r="Q36" s="20"/>
      <c r="R36" s="20"/>
      <c r="S36" s="20"/>
      <c r="T36" s="20"/>
      <c r="U36" s="20"/>
      <c r="V36" s="20"/>
      <c r="W36" s="20"/>
    </row>
    <row r="37" spans="1:23" x14ac:dyDescent="0.2">
      <c r="A37" s="130" t="s">
        <v>204</v>
      </c>
      <c r="B37" s="131"/>
      <c r="C37" s="119"/>
      <c r="D37" s="119"/>
      <c r="E37" s="119"/>
      <c r="F37" s="120"/>
      <c r="G37" s="120"/>
      <c r="H37" s="120"/>
      <c r="I37" s="119"/>
      <c r="J37" s="132"/>
      <c r="K37" s="132"/>
      <c r="L37" s="132"/>
      <c r="M37" s="82">
        <f>M38+M40</f>
        <v>1746082</v>
      </c>
      <c r="N37" s="82">
        <f t="shared" ref="N37:O37" si="14">N38+N40</f>
        <v>0</v>
      </c>
      <c r="O37" s="82">
        <f t="shared" si="14"/>
        <v>1746082</v>
      </c>
      <c r="P37" s="220">
        <f t="shared" si="2"/>
        <v>100</v>
      </c>
      <c r="Q37" s="20"/>
      <c r="R37" s="20"/>
      <c r="S37" s="20"/>
      <c r="T37" s="20"/>
      <c r="U37" s="20"/>
      <c r="V37" s="20"/>
      <c r="W37" s="20"/>
    </row>
    <row r="38" spans="1:23" ht="36" customHeight="1" x14ac:dyDescent="0.2">
      <c r="A38" s="133" t="s">
        <v>205</v>
      </c>
      <c r="B38" s="119">
        <v>12</v>
      </c>
      <c r="C38" s="119">
        <v>1</v>
      </c>
      <c r="D38" s="119">
        <v>41</v>
      </c>
      <c r="E38" s="119">
        <v>812</v>
      </c>
      <c r="F38" s="120" t="s">
        <v>18</v>
      </c>
      <c r="G38" s="120" t="s">
        <v>16</v>
      </c>
      <c r="H38" s="120" t="s">
        <v>188</v>
      </c>
      <c r="I38" s="119">
        <v>522</v>
      </c>
      <c r="J38" s="132"/>
      <c r="K38" s="132"/>
      <c r="L38" s="132"/>
      <c r="M38" s="81">
        <f>M39</f>
        <v>600000</v>
      </c>
      <c r="N38" s="222"/>
      <c r="O38" s="94">
        <v>600000</v>
      </c>
      <c r="P38" s="221">
        <f t="shared" si="2"/>
        <v>100</v>
      </c>
      <c r="Q38" s="20"/>
      <c r="R38" s="20"/>
      <c r="S38" s="20"/>
      <c r="T38" s="20"/>
      <c r="U38" s="20"/>
      <c r="V38" s="20"/>
      <c r="W38" s="20"/>
    </row>
    <row r="39" spans="1:23" ht="37.5" customHeight="1" x14ac:dyDescent="0.2">
      <c r="A39" s="129" t="s">
        <v>191</v>
      </c>
      <c r="B39" s="131"/>
      <c r="C39" s="119"/>
      <c r="D39" s="119"/>
      <c r="E39" s="119"/>
      <c r="F39" s="120"/>
      <c r="G39" s="120"/>
      <c r="H39" s="120"/>
      <c r="I39" s="119"/>
      <c r="J39" s="132"/>
      <c r="K39" s="132"/>
      <c r="L39" s="132"/>
      <c r="M39" s="81">
        <v>600000</v>
      </c>
      <c r="N39" s="222"/>
      <c r="O39" s="94">
        <v>600000</v>
      </c>
      <c r="P39" s="221">
        <f t="shared" si="2"/>
        <v>100</v>
      </c>
      <c r="Q39" s="20"/>
      <c r="R39" s="20"/>
      <c r="S39" s="20"/>
      <c r="T39" s="20"/>
      <c r="U39" s="20"/>
      <c r="V39" s="20"/>
      <c r="W39" s="20"/>
    </row>
    <row r="40" spans="1:23" ht="36.75" customHeight="1" x14ac:dyDescent="0.2">
      <c r="A40" s="133" t="s">
        <v>206</v>
      </c>
      <c r="B40" s="119">
        <v>12</v>
      </c>
      <c r="C40" s="119">
        <v>1</v>
      </c>
      <c r="D40" s="119">
        <v>41</v>
      </c>
      <c r="E40" s="119">
        <v>812</v>
      </c>
      <c r="F40" s="120" t="s">
        <v>18</v>
      </c>
      <c r="G40" s="120" t="s">
        <v>16</v>
      </c>
      <c r="H40" s="120" t="s">
        <v>188</v>
      </c>
      <c r="I40" s="119">
        <v>522</v>
      </c>
      <c r="J40" s="132"/>
      <c r="K40" s="132"/>
      <c r="L40" s="132"/>
      <c r="M40" s="81">
        <f>M41</f>
        <v>1146082</v>
      </c>
      <c r="N40" s="94"/>
      <c r="O40" s="94">
        <v>1146082</v>
      </c>
      <c r="P40" s="221">
        <f t="shared" si="2"/>
        <v>100</v>
      </c>
      <c r="Q40" s="20"/>
      <c r="R40" s="20"/>
      <c r="S40" s="20"/>
      <c r="T40" s="20"/>
      <c r="U40" s="20"/>
      <c r="V40" s="20"/>
      <c r="W40" s="20"/>
    </row>
    <row r="41" spans="1:23" ht="36" customHeight="1" x14ac:dyDescent="0.2">
      <c r="A41" s="129" t="s">
        <v>191</v>
      </c>
      <c r="B41" s="131"/>
      <c r="C41" s="119"/>
      <c r="D41" s="119"/>
      <c r="E41" s="119"/>
      <c r="F41" s="120"/>
      <c r="G41" s="120"/>
      <c r="H41" s="120"/>
      <c r="I41" s="119"/>
      <c r="J41" s="132"/>
      <c r="K41" s="132"/>
      <c r="L41" s="132"/>
      <c r="M41" s="81">
        <v>1146082</v>
      </c>
      <c r="N41" s="94"/>
      <c r="O41" s="94">
        <v>1146082</v>
      </c>
      <c r="P41" s="221">
        <f t="shared" si="2"/>
        <v>100</v>
      </c>
      <c r="Q41" s="20"/>
      <c r="R41" s="20"/>
      <c r="S41" s="20"/>
      <c r="T41" s="20"/>
      <c r="U41" s="20"/>
      <c r="V41" s="20"/>
      <c r="W41" s="20"/>
    </row>
    <row r="42" spans="1:23" x14ac:dyDescent="0.2">
      <c r="A42" s="134" t="s">
        <v>202</v>
      </c>
      <c r="B42" s="131"/>
      <c r="C42" s="119"/>
      <c r="D42" s="119"/>
      <c r="E42" s="119"/>
      <c r="F42" s="120"/>
      <c r="G42" s="120"/>
      <c r="H42" s="120"/>
      <c r="I42" s="119"/>
      <c r="J42" s="132"/>
      <c r="K42" s="132"/>
      <c r="L42" s="132"/>
      <c r="M42" s="82">
        <f>M43</f>
        <v>1162918</v>
      </c>
      <c r="N42" s="82">
        <f t="shared" ref="N42:O42" si="15">N43</f>
        <v>0</v>
      </c>
      <c r="O42" s="82">
        <f t="shared" si="15"/>
        <v>1162918</v>
      </c>
      <c r="P42" s="220">
        <f t="shared" si="2"/>
        <v>100</v>
      </c>
      <c r="Q42" s="20"/>
      <c r="R42" s="20"/>
      <c r="S42" s="20"/>
      <c r="T42" s="20"/>
      <c r="U42" s="20"/>
      <c r="V42" s="20"/>
      <c r="W42" s="20"/>
    </row>
    <row r="43" spans="1:23" ht="24.75" customHeight="1" x14ac:dyDescent="0.2">
      <c r="A43" s="133" t="s">
        <v>203</v>
      </c>
      <c r="B43" s="119">
        <v>12</v>
      </c>
      <c r="C43" s="119">
        <v>1</v>
      </c>
      <c r="D43" s="119">
        <v>41</v>
      </c>
      <c r="E43" s="119">
        <v>812</v>
      </c>
      <c r="F43" s="120" t="s">
        <v>18</v>
      </c>
      <c r="G43" s="120" t="s">
        <v>16</v>
      </c>
      <c r="H43" s="120" t="s">
        <v>188</v>
      </c>
      <c r="I43" s="119">
        <v>522</v>
      </c>
      <c r="J43" s="132"/>
      <c r="K43" s="132"/>
      <c r="L43" s="132"/>
      <c r="M43" s="81">
        <f>M44</f>
        <v>1162918</v>
      </c>
      <c r="N43" s="94"/>
      <c r="O43" s="94">
        <v>1162918</v>
      </c>
      <c r="P43" s="221">
        <f t="shared" si="2"/>
        <v>100</v>
      </c>
      <c r="Q43" s="20"/>
      <c r="R43" s="20"/>
      <c r="S43" s="20"/>
      <c r="T43" s="20"/>
      <c r="U43" s="20"/>
      <c r="V43" s="20"/>
      <c r="W43" s="20"/>
    </row>
    <row r="44" spans="1:23" ht="38.25" customHeight="1" x14ac:dyDescent="0.2">
      <c r="A44" s="129" t="s">
        <v>191</v>
      </c>
      <c r="B44" s="131"/>
      <c r="C44" s="119"/>
      <c r="D44" s="119"/>
      <c r="E44" s="119"/>
      <c r="F44" s="120"/>
      <c r="G44" s="120"/>
      <c r="H44" s="120"/>
      <c r="I44" s="119"/>
      <c r="J44" s="132"/>
      <c r="K44" s="132"/>
      <c r="L44" s="132"/>
      <c r="M44" s="81">
        <v>1162918</v>
      </c>
      <c r="N44" s="94"/>
      <c r="O44" s="94">
        <v>1162918</v>
      </c>
      <c r="P44" s="221">
        <f t="shared" si="2"/>
        <v>100</v>
      </c>
      <c r="Q44" s="20"/>
      <c r="R44" s="20"/>
      <c r="S44" s="20"/>
      <c r="T44" s="20"/>
      <c r="U44" s="20"/>
      <c r="V44" s="20"/>
      <c r="W44" s="20"/>
    </row>
    <row r="45" spans="1:23" x14ac:dyDescent="0.2">
      <c r="A45" s="134" t="s">
        <v>82</v>
      </c>
      <c r="B45" s="131"/>
      <c r="C45" s="119"/>
      <c r="D45" s="119"/>
      <c r="E45" s="119"/>
      <c r="F45" s="120"/>
      <c r="G45" s="120"/>
      <c r="H45" s="120"/>
      <c r="I45" s="119"/>
      <c r="J45" s="132"/>
      <c r="K45" s="132"/>
      <c r="L45" s="132"/>
      <c r="M45" s="82">
        <f>M46</f>
        <v>3403982</v>
      </c>
      <c r="N45" s="82">
        <f t="shared" ref="N45:O45" si="16">N46</f>
        <v>3403982</v>
      </c>
      <c r="O45" s="82">
        <f t="shared" si="16"/>
        <v>3403982</v>
      </c>
      <c r="P45" s="220">
        <f t="shared" si="2"/>
        <v>100</v>
      </c>
      <c r="Q45" s="20"/>
      <c r="R45" s="20"/>
      <c r="S45" s="20"/>
      <c r="T45" s="20"/>
      <c r="U45" s="20"/>
      <c r="V45" s="20"/>
      <c r="W45" s="20"/>
    </row>
    <row r="46" spans="1:23" ht="51" customHeight="1" x14ac:dyDescent="0.2">
      <c r="A46" s="128" t="s">
        <v>272</v>
      </c>
      <c r="B46" s="119">
        <v>12</v>
      </c>
      <c r="C46" s="119">
        <v>1</v>
      </c>
      <c r="D46" s="119">
        <v>41</v>
      </c>
      <c r="E46" s="119">
        <v>812</v>
      </c>
      <c r="F46" s="120" t="s">
        <v>18</v>
      </c>
      <c r="G46" s="120" t="s">
        <v>16</v>
      </c>
      <c r="H46" s="120" t="s">
        <v>188</v>
      </c>
      <c r="I46" s="119">
        <v>522</v>
      </c>
      <c r="J46" s="135" t="s">
        <v>273</v>
      </c>
      <c r="K46" s="135" t="s">
        <v>274</v>
      </c>
      <c r="L46" s="132">
        <v>2016</v>
      </c>
      <c r="M46" s="81">
        <v>3403982</v>
      </c>
      <c r="N46" s="94">
        <v>3403982</v>
      </c>
      <c r="O46" s="94">
        <v>3403982</v>
      </c>
      <c r="P46" s="221">
        <f t="shared" si="2"/>
        <v>100</v>
      </c>
      <c r="Q46" s="20"/>
      <c r="R46" s="20"/>
      <c r="S46" s="20"/>
      <c r="T46" s="20"/>
      <c r="U46" s="20"/>
      <c r="V46" s="20"/>
      <c r="W46" s="20"/>
    </row>
    <row r="47" spans="1:23" x14ac:dyDescent="0.2">
      <c r="A47" s="136" t="s">
        <v>74</v>
      </c>
      <c r="B47" s="131"/>
      <c r="C47" s="119"/>
      <c r="D47" s="119"/>
      <c r="E47" s="119"/>
      <c r="F47" s="120"/>
      <c r="G47" s="120"/>
      <c r="H47" s="120"/>
      <c r="I47" s="119"/>
      <c r="J47" s="132"/>
      <c r="K47" s="132"/>
      <c r="L47" s="132"/>
      <c r="M47" s="82">
        <f>M48</f>
        <v>2966469</v>
      </c>
      <c r="N47" s="82">
        <f t="shared" ref="N47:O47" si="17">N48</f>
        <v>2966469</v>
      </c>
      <c r="O47" s="82">
        <f t="shared" si="17"/>
        <v>2966469</v>
      </c>
      <c r="P47" s="220">
        <f t="shared" si="2"/>
        <v>100</v>
      </c>
      <c r="Q47" s="20"/>
      <c r="R47" s="20"/>
      <c r="S47" s="20"/>
      <c r="T47" s="20"/>
      <c r="U47" s="20"/>
      <c r="V47" s="20"/>
      <c r="W47" s="20"/>
    </row>
    <row r="48" spans="1:23" ht="36" customHeight="1" x14ac:dyDescent="0.2">
      <c r="A48" s="137" t="s">
        <v>275</v>
      </c>
      <c r="B48" s="119">
        <v>12</v>
      </c>
      <c r="C48" s="119">
        <v>1</v>
      </c>
      <c r="D48" s="119">
        <v>41</v>
      </c>
      <c r="E48" s="119">
        <v>812</v>
      </c>
      <c r="F48" s="120" t="s">
        <v>18</v>
      </c>
      <c r="G48" s="120" t="s">
        <v>16</v>
      </c>
      <c r="H48" s="120" t="s">
        <v>188</v>
      </c>
      <c r="I48" s="119">
        <v>522</v>
      </c>
      <c r="J48" s="138" t="s">
        <v>286</v>
      </c>
      <c r="K48" s="138" t="s">
        <v>276</v>
      </c>
      <c r="L48" s="132">
        <v>2016</v>
      </c>
      <c r="M48" s="81">
        <v>2966469</v>
      </c>
      <c r="N48" s="94">
        <v>2966469</v>
      </c>
      <c r="O48" s="94">
        <v>2966469</v>
      </c>
      <c r="P48" s="221">
        <f t="shared" si="2"/>
        <v>100</v>
      </c>
      <c r="Q48" s="20"/>
      <c r="R48" s="20"/>
      <c r="S48" s="20"/>
      <c r="T48" s="20"/>
      <c r="U48" s="20"/>
      <c r="V48" s="20"/>
      <c r="W48" s="20"/>
    </row>
    <row r="49" spans="1:23" x14ac:dyDescent="0.2">
      <c r="A49" s="134" t="s">
        <v>161</v>
      </c>
      <c r="B49" s="119"/>
      <c r="C49" s="119"/>
      <c r="D49" s="119"/>
      <c r="E49" s="119"/>
      <c r="F49" s="120"/>
      <c r="G49" s="120"/>
      <c r="H49" s="120"/>
      <c r="I49" s="119"/>
      <c r="J49" s="138"/>
      <c r="K49" s="138"/>
      <c r="L49" s="132"/>
      <c r="M49" s="82">
        <f>M50</f>
        <v>447383</v>
      </c>
      <c r="N49" s="82">
        <f t="shared" ref="N49:O49" si="18">N50</f>
        <v>426623</v>
      </c>
      <c r="O49" s="82">
        <f t="shared" si="18"/>
        <v>426623</v>
      </c>
      <c r="P49" s="220">
        <f t="shared" si="2"/>
        <v>95.359680631584126</v>
      </c>
      <c r="Q49" s="20"/>
      <c r="R49" s="20"/>
      <c r="S49" s="20"/>
      <c r="T49" s="20"/>
      <c r="U49" s="20"/>
      <c r="V49" s="20"/>
      <c r="W49" s="20"/>
    </row>
    <row r="50" spans="1:23" ht="38.25" customHeight="1" x14ac:dyDescent="0.2">
      <c r="A50" s="128" t="s">
        <v>343</v>
      </c>
      <c r="B50" s="119">
        <v>12</v>
      </c>
      <c r="C50" s="119">
        <v>1</v>
      </c>
      <c r="D50" s="119">
        <v>41</v>
      </c>
      <c r="E50" s="119">
        <v>812</v>
      </c>
      <c r="F50" s="120" t="s">
        <v>18</v>
      </c>
      <c r="G50" s="120" t="s">
        <v>16</v>
      </c>
      <c r="H50" s="120" t="s">
        <v>188</v>
      </c>
      <c r="I50" s="119">
        <v>522</v>
      </c>
      <c r="J50" s="138" t="s">
        <v>68</v>
      </c>
      <c r="K50" s="138">
        <v>0.70099999999999996</v>
      </c>
      <c r="L50" s="132">
        <v>2016</v>
      </c>
      <c r="M50" s="81">
        <v>447383</v>
      </c>
      <c r="N50" s="94">
        <v>426623</v>
      </c>
      <c r="O50" s="94">
        <v>426623</v>
      </c>
      <c r="P50" s="221">
        <f t="shared" si="2"/>
        <v>95.359680631584126</v>
      </c>
      <c r="Q50" s="20"/>
      <c r="R50" s="20"/>
      <c r="S50" s="20"/>
      <c r="T50" s="20"/>
      <c r="U50" s="20"/>
      <c r="V50" s="20"/>
      <c r="W50" s="20"/>
    </row>
    <row r="51" spans="1:23" x14ac:dyDescent="0.2">
      <c r="A51" s="134" t="s">
        <v>71</v>
      </c>
      <c r="B51" s="119"/>
      <c r="C51" s="119"/>
      <c r="D51" s="119"/>
      <c r="E51" s="119"/>
      <c r="F51" s="120"/>
      <c r="G51" s="120"/>
      <c r="H51" s="120"/>
      <c r="I51" s="119"/>
      <c r="J51" s="138"/>
      <c r="K51" s="138"/>
      <c r="L51" s="132"/>
      <c r="M51" s="82">
        <f>M52</f>
        <v>2059562</v>
      </c>
      <c r="N51" s="82">
        <f t="shared" ref="N51:O51" si="19">N52</f>
        <v>2059562</v>
      </c>
      <c r="O51" s="82">
        <f t="shared" si="19"/>
        <v>2059562</v>
      </c>
      <c r="P51" s="220">
        <f t="shared" si="2"/>
        <v>100</v>
      </c>
      <c r="Q51" s="20"/>
      <c r="R51" s="20"/>
      <c r="S51" s="20"/>
      <c r="T51" s="20"/>
      <c r="U51" s="20"/>
      <c r="V51" s="20"/>
      <c r="W51" s="20"/>
    </row>
    <row r="52" spans="1:23" ht="36" customHeight="1" x14ac:dyDescent="0.2">
      <c r="A52" s="46" t="s">
        <v>366</v>
      </c>
      <c r="B52" s="119">
        <v>12</v>
      </c>
      <c r="C52" s="119">
        <v>1</v>
      </c>
      <c r="D52" s="119">
        <v>41</v>
      </c>
      <c r="E52" s="119">
        <v>812</v>
      </c>
      <c r="F52" s="120" t="s">
        <v>18</v>
      </c>
      <c r="G52" s="120" t="s">
        <v>16</v>
      </c>
      <c r="H52" s="120" t="s">
        <v>188</v>
      </c>
      <c r="I52" s="119">
        <v>522</v>
      </c>
      <c r="J52" s="138" t="s">
        <v>358</v>
      </c>
      <c r="K52" s="138" t="s">
        <v>367</v>
      </c>
      <c r="L52" s="132">
        <v>2016</v>
      </c>
      <c r="M52" s="94">
        <v>2059562</v>
      </c>
      <c r="N52" s="94">
        <v>2059562</v>
      </c>
      <c r="O52" s="94">
        <v>2059562</v>
      </c>
      <c r="P52" s="221">
        <f t="shared" si="2"/>
        <v>100</v>
      </c>
      <c r="Q52" s="20"/>
      <c r="R52" s="20"/>
      <c r="S52" s="20"/>
      <c r="T52" s="20"/>
      <c r="U52" s="20"/>
      <c r="V52" s="20"/>
      <c r="W52" s="20"/>
    </row>
    <row r="53" spans="1:23" x14ac:dyDescent="0.2">
      <c r="A53" s="134" t="s">
        <v>344</v>
      </c>
      <c r="B53" s="119"/>
      <c r="C53" s="119"/>
      <c r="D53" s="119"/>
      <c r="E53" s="119"/>
      <c r="F53" s="120"/>
      <c r="G53" s="120"/>
      <c r="H53" s="120"/>
      <c r="I53" s="119"/>
      <c r="J53" s="138"/>
      <c r="K53" s="138"/>
      <c r="L53" s="132"/>
      <c r="M53" s="82">
        <f>M54</f>
        <v>3101645</v>
      </c>
      <c r="N53" s="82">
        <f t="shared" ref="N53:O53" si="20">N54</f>
        <v>3101645</v>
      </c>
      <c r="O53" s="82">
        <f t="shared" si="20"/>
        <v>3101645</v>
      </c>
      <c r="P53" s="220">
        <f t="shared" si="2"/>
        <v>100</v>
      </c>
      <c r="Q53" s="20"/>
      <c r="R53" s="20"/>
      <c r="S53" s="20"/>
      <c r="T53" s="20"/>
      <c r="U53" s="20"/>
      <c r="V53" s="20"/>
      <c r="W53" s="20"/>
    </row>
    <row r="54" spans="1:23" ht="36.75" customHeight="1" x14ac:dyDescent="0.2">
      <c r="A54" s="128" t="s">
        <v>345</v>
      </c>
      <c r="B54" s="119">
        <v>12</v>
      </c>
      <c r="C54" s="119">
        <v>1</v>
      </c>
      <c r="D54" s="119">
        <v>41</v>
      </c>
      <c r="E54" s="119">
        <v>812</v>
      </c>
      <c r="F54" s="120" t="s">
        <v>18</v>
      </c>
      <c r="G54" s="120" t="s">
        <v>16</v>
      </c>
      <c r="H54" s="120" t="s">
        <v>188</v>
      </c>
      <c r="I54" s="119">
        <v>522</v>
      </c>
      <c r="J54" s="138" t="s">
        <v>346</v>
      </c>
      <c r="K54" s="138">
        <v>1</v>
      </c>
      <c r="L54" s="132">
        <v>2016</v>
      </c>
      <c r="M54" s="81">
        <v>3101645</v>
      </c>
      <c r="N54" s="94">
        <v>3101645</v>
      </c>
      <c r="O54" s="94">
        <v>3101645</v>
      </c>
      <c r="P54" s="221">
        <f t="shared" si="2"/>
        <v>100</v>
      </c>
      <c r="Q54" s="20"/>
      <c r="R54" s="20"/>
      <c r="S54" s="20"/>
      <c r="T54" s="20"/>
      <c r="U54" s="20"/>
      <c r="V54" s="20"/>
      <c r="W54" s="20"/>
    </row>
    <row r="55" spans="1:23" ht="17.25" customHeight="1" x14ac:dyDescent="0.2">
      <c r="A55" s="139" t="s">
        <v>85</v>
      </c>
      <c r="B55" s="140"/>
      <c r="C55" s="140"/>
      <c r="D55" s="140"/>
      <c r="E55" s="140"/>
      <c r="F55" s="140"/>
      <c r="G55" s="140"/>
      <c r="H55" s="141"/>
      <c r="I55" s="140"/>
      <c r="J55" s="132"/>
      <c r="K55" s="132"/>
      <c r="L55" s="132"/>
      <c r="M55" s="214">
        <f>M56</f>
        <v>622933</v>
      </c>
      <c r="N55" s="214">
        <f t="shared" ref="N55:O55" si="21">N56</f>
        <v>0</v>
      </c>
      <c r="O55" s="214">
        <f t="shared" si="21"/>
        <v>622933</v>
      </c>
      <c r="P55" s="220">
        <f t="shared" si="2"/>
        <v>100</v>
      </c>
      <c r="Q55" s="20"/>
      <c r="R55" s="20"/>
      <c r="S55" s="20"/>
      <c r="T55" s="20"/>
      <c r="U55" s="20"/>
      <c r="V55" s="20"/>
      <c r="W55" s="20"/>
    </row>
    <row r="56" spans="1:23" ht="51" customHeight="1" x14ac:dyDescent="0.2">
      <c r="A56" s="142" t="s">
        <v>207</v>
      </c>
      <c r="B56" s="119">
        <v>12</v>
      </c>
      <c r="C56" s="119">
        <v>1</v>
      </c>
      <c r="D56" s="119">
        <v>41</v>
      </c>
      <c r="E56" s="119">
        <v>812</v>
      </c>
      <c r="F56" s="120" t="s">
        <v>18</v>
      </c>
      <c r="G56" s="120" t="s">
        <v>16</v>
      </c>
      <c r="H56" s="120" t="s">
        <v>188</v>
      </c>
      <c r="I56" s="119">
        <v>522</v>
      </c>
      <c r="J56" s="132"/>
      <c r="K56" s="132"/>
      <c r="L56" s="132"/>
      <c r="M56" s="215">
        <f>M57</f>
        <v>622933</v>
      </c>
      <c r="N56" s="222"/>
      <c r="O56" s="94">
        <v>622933</v>
      </c>
      <c r="P56" s="221">
        <f t="shared" si="2"/>
        <v>100</v>
      </c>
      <c r="Q56" s="20"/>
      <c r="R56" s="20"/>
      <c r="S56" s="20"/>
      <c r="T56" s="20"/>
      <c r="U56" s="20"/>
      <c r="V56" s="20"/>
      <c r="W56" s="20"/>
    </row>
    <row r="57" spans="1:23" ht="38.25" customHeight="1" x14ac:dyDescent="0.2">
      <c r="A57" s="129" t="s">
        <v>191</v>
      </c>
      <c r="B57" s="140"/>
      <c r="C57" s="140"/>
      <c r="D57" s="140"/>
      <c r="E57" s="140"/>
      <c r="F57" s="140"/>
      <c r="G57" s="140"/>
      <c r="H57" s="141"/>
      <c r="I57" s="140"/>
      <c r="J57" s="132"/>
      <c r="K57" s="132"/>
      <c r="L57" s="132"/>
      <c r="M57" s="215">
        <v>622933</v>
      </c>
      <c r="N57" s="222"/>
      <c r="O57" s="94">
        <v>622933</v>
      </c>
      <c r="P57" s="221">
        <f t="shared" si="2"/>
        <v>100</v>
      </c>
      <c r="Q57" s="20"/>
      <c r="R57" s="20"/>
      <c r="S57" s="20"/>
      <c r="T57" s="20"/>
      <c r="U57" s="20"/>
      <c r="V57" s="20"/>
      <c r="W57" s="20"/>
    </row>
    <row r="58" spans="1:23" x14ac:dyDescent="0.2">
      <c r="A58" s="139" t="s">
        <v>254</v>
      </c>
      <c r="B58" s="140"/>
      <c r="C58" s="140"/>
      <c r="D58" s="140"/>
      <c r="E58" s="140"/>
      <c r="F58" s="140"/>
      <c r="G58" s="140"/>
      <c r="H58" s="141"/>
      <c r="I58" s="140"/>
      <c r="J58" s="132"/>
      <c r="K58" s="132"/>
      <c r="L58" s="132"/>
      <c r="M58" s="214">
        <f>M59+M60</f>
        <v>8072102</v>
      </c>
      <c r="N58" s="214">
        <f t="shared" ref="N58:O58" si="22">N59+N60</f>
        <v>8048945.75</v>
      </c>
      <c r="O58" s="214">
        <f t="shared" si="22"/>
        <v>8048945.75</v>
      </c>
      <c r="P58" s="220">
        <f t="shared" si="2"/>
        <v>99.713132341489242</v>
      </c>
      <c r="Q58" s="20"/>
      <c r="R58" s="20"/>
      <c r="S58" s="20"/>
      <c r="T58" s="20"/>
      <c r="U58" s="20"/>
      <c r="V58" s="20"/>
      <c r="W58" s="20"/>
    </row>
    <row r="59" spans="1:23" ht="36" x14ac:dyDescent="0.2">
      <c r="A59" s="128" t="s">
        <v>347</v>
      </c>
      <c r="B59" s="119">
        <v>12</v>
      </c>
      <c r="C59" s="119">
        <v>1</v>
      </c>
      <c r="D59" s="119">
        <v>41</v>
      </c>
      <c r="E59" s="119">
        <v>812</v>
      </c>
      <c r="F59" s="120" t="s">
        <v>18</v>
      </c>
      <c r="G59" s="120" t="s">
        <v>16</v>
      </c>
      <c r="H59" s="120" t="s">
        <v>188</v>
      </c>
      <c r="I59" s="119">
        <v>522</v>
      </c>
      <c r="J59" s="135" t="s">
        <v>419</v>
      </c>
      <c r="K59" s="135" t="s">
        <v>349</v>
      </c>
      <c r="L59" s="132">
        <v>2016</v>
      </c>
      <c r="M59" s="215">
        <v>3440852</v>
      </c>
      <c r="N59" s="94">
        <v>3440852</v>
      </c>
      <c r="O59" s="94">
        <v>3440852</v>
      </c>
      <c r="P59" s="221">
        <f t="shared" si="2"/>
        <v>100</v>
      </c>
      <c r="Q59" s="20"/>
      <c r="R59" s="20"/>
      <c r="S59" s="20"/>
      <c r="T59" s="20"/>
      <c r="U59" s="20"/>
      <c r="V59" s="20"/>
      <c r="W59" s="20"/>
    </row>
    <row r="60" spans="1:23" ht="36" x14ac:dyDescent="0.2">
      <c r="A60" s="128" t="s">
        <v>348</v>
      </c>
      <c r="B60" s="119">
        <v>12</v>
      </c>
      <c r="C60" s="119">
        <v>1</v>
      </c>
      <c r="D60" s="119">
        <v>41</v>
      </c>
      <c r="E60" s="119">
        <v>812</v>
      </c>
      <c r="F60" s="120" t="s">
        <v>18</v>
      </c>
      <c r="G60" s="120" t="s">
        <v>16</v>
      </c>
      <c r="H60" s="120" t="s">
        <v>188</v>
      </c>
      <c r="I60" s="119">
        <v>522</v>
      </c>
      <c r="J60" s="135" t="s">
        <v>419</v>
      </c>
      <c r="K60" s="135" t="s">
        <v>350</v>
      </c>
      <c r="L60" s="132">
        <v>2016</v>
      </c>
      <c r="M60" s="215">
        <v>4631250</v>
      </c>
      <c r="N60" s="94">
        <v>4608093.75</v>
      </c>
      <c r="O60" s="94">
        <v>4608093.75</v>
      </c>
      <c r="P60" s="221">
        <f t="shared" si="2"/>
        <v>99.5</v>
      </c>
      <c r="Q60" s="20"/>
      <c r="R60" s="20"/>
      <c r="S60" s="20"/>
      <c r="T60" s="20"/>
      <c r="U60" s="20"/>
      <c r="V60" s="20"/>
      <c r="W60" s="20"/>
    </row>
    <row r="61" spans="1:23" ht="24" x14ac:dyDescent="0.2">
      <c r="A61" s="143" t="s">
        <v>359</v>
      </c>
      <c r="B61" s="119"/>
      <c r="C61" s="119"/>
      <c r="D61" s="119"/>
      <c r="E61" s="119"/>
      <c r="F61" s="120"/>
      <c r="G61" s="120"/>
      <c r="H61" s="120"/>
      <c r="I61" s="119"/>
      <c r="J61" s="135"/>
      <c r="K61" s="135"/>
      <c r="L61" s="132"/>
      <c r="M61" s="214">
        <f>M62</f>
        <v>4362381</v>
      </c>
      <c r="N61" s="214">
        <f t="shared" ref="N61:O61" si="23">N62</f>
        <v>3359033.37</v>
      </c>
      <c r="O61" s="214">
        <f t="shared" si="23"/>
        <v>3359033.37</v>
      </c>
      <c r="P61" s="220">
        <f t="shared" si="2"/>
        <v>77</v>
      </c>
      <c r="Q61" s="20"/>
      <c r="R61" s="20"/>
      <c r="S61" s="20"/>
      <c r="T61" s="20"/>
      <c r="U61" s="20"/>
      <c r="V61" s="20"/>
      <c r="W61" s="20"/>
    </row>
    <row r="62" spans="1:23" ht="49.5" customHeight="1" x14ac:dyDescent="0.2">
      <c r="A62" s="137" t="s">
        <v>365</v>
      </c>
      <c r="B62" s="119">
        <v>12</v>
      </c>
      <c r="C62" s="119">
        <v>1</v>
      </c>
      <c r="D62" s="119">
        <v>41</v>
      </c>
      <c r="E62" s="119">
        <v>812</v>
      </c>
      <c r="F62" s="120" t="s">
        <v>18</v>
      </c>
      <c r="G62" s="120" t="s">
        <v>16</v>
      </c>
      <c r="H62" s="120" t="s">
        <v>188</v>
      </c>
      <c r="I62" s="119">
        <v>522</v>
      </c>
      <c r="J62" s="135" t="s">
        <v>420</v>
      </c>
      <c r="K62" s="135" t="s">
        <v>360</v>
      </c>
      <c r="L62" s="132">
        <v>2016</v>
      </c>
      <c r="M62" s="215">
        <v>4362381</v>
      </c>
      <c r="N62" s="94">
        <v>3359033.37</v>
      </c>
      <c r="O62" s="94">
        <v>3359033.37</v>
      </c>
      <c r="P62" s="221">
        <f t="shared" si="2"/>
        <v>77</v>
      </c>
      <c r="Q62" s="20"/>
      <c r="R62" s="20"/>
      <c r="S62" s="20"/>
      <c r="T62" s="20"/>
      <c r="U62" s="20"/>
      <c r="V62" s="20"/>
      <c r="W62" s="20"/>
    </row>
    <row r="63" spans="1:23" ht="24" x14ac:dyDescent="0.2">
      <c r="A63" s="217" t="s">
        <v>277</v>
      </c>
      <c r="B63" s="140"/>
      <c r="C63" s="140"/>
      <c r="D63" s="140"/>
      <c r="E63" s="140"/>
      <c r="F63" s="140"/>
      <c r="G63" s="140"/>
      <c r="H63" s="141"/>
      <c r="I63" s="140"/>
      <c r="J63" s="132"/>
      <c r="K63" s="132"/>
      <c r="L63" s="132"/>
      <c r="M63" s="214">
        <f>M64</f>
        <v>835025</v>
      </c>
      <c r="N63" s="214">
        <f t="shared" ref="N63:O63" si="24">N64</f>
        <v>566266</v>
      </c>
      <c r="O63" s="214">
        <f t="shared" si="24"/>
        <v>566266</v>
      </c>
      <c r="P63" s="220">
        <f t="shared" si="2"/>
        <v>67.814257058171918</v>
      </c>
      <c r="Q63" s="20"/>
      <c r="R63" s="20"/>
      <c r="S63" s="20"/>
      <c r="T63" s="20"/>
      <c r="U63" s="20"/>
      <c r="V63" s="20"/>
      <c r="W63" s="20"/>
    </row>
    <row r="64" spans="1:23" ht="49.5" customHeight="1" x14ac:dyDescent="0.2">
      <c r="A64" s="137" t="s">
        <v>375</v>
      </c>
      <c r="B64" s="119">
        <v>12</v>
      </c>
      <c r="C64" s="119">
        <v>1</v>
      </c>
      <c r="D64" s="119">
        <v>41</v>
      </c>
      <c r="E64" s="119">
        <v>812</v>
      </c>
      <c r="F64" s="120" t="s">
        <v>18</v>
      </c>
      <c r="G64" s="120" t="s">
        <v>16</v>
      </c>
      <c r="H64" s="120" t="s">
        <v>188</v>
      </c>
      <c r="I64" s="119">
        <v>522</v>
      </c>
      <c r="J64" s="135" t="s">
        <v>278</v>
      </c>
      <c r="K64" s="135" t="s">
        <v>279</v>
      </c>
      <c r="L64" s="132">
        <v>2016</v>
      </c>
      <c r="M64" s="215">
        <v>835025</v>
      </c>
      <c r="N64" s="94">
        <v>566266</v>
      </c>
      <c r="O64" s="94">
        <v>566266</v>
      </c>
      <c r="P64" s="221">
        <f t="shared" si="2"/>
        <v>67.814257058171918</v>
      </c>
      <c r="Q64" s="20"/>
      <c r="R64" s="20"/>
      <c r="S64" s="20"/>
      <c r="T64" s="20"/>
      <c r="U64" s="20"/>
      <c r="V64" s="20"/>
      <c r="W64" s="20"/>
    </row>
    <row r="65" spans="1:23" ht="24" x14ac:dyDescent="0.2">
      <c r="A65" s="134" t="s">
        <v>351</v>
      </c>
      <c r="B65" s="119"/>
      <c r="C65" s="119"/>
      <c r="D65" s="119"/>
      <c r="E65" s="119"/>
      <c r="F65" s="120"/>
      <c r="G65" s="120"/>
      <c r="H65" s="120"/>
      <c r="I65" s="119"/>
      <c r="J65" s="135"/>
      <c r="K65" s="135"/>
      <c r="L65" s="132"/>
      <c r="M65" s="214">
        <f>M66</f>
        <v>3948884</v>
      </c>
      <c r="N65" s="214">
        <f t="shared" ref="N65:O65" si="25">N66</f>
        <v>3948884</v>
      </c>
      <c r="O65" s="214">
        <f t="shared" si="25"/>
        <v>3948884</v>
      </c>
      <c r="P65" s="220">
        <f t="shared" si="2"/>
        <v>100</v>
      </c>
      <c r="Q65" s="20"/>
      <c r="R65" s="20"/>
      <c r="S65" s="20"/>
      <c r="T65" s="20"/>
      <c r="U65" s="20"/>
      <c r="V65" s="20"/>
      <c r="W65" s="20"/>
    </row>
    <row r="66" spans="1:23" ht="25.5" customHeight="1" x14ac:dyDescent="0.2">
      <c r="A66" s="128" t="s">
        <v>352</v>
      </c>
      <c r="B66" s="119">
        <v>12</v>
      </c>
      <c r="C66" s="119">
        <v>1</v>
      </c>
      <c r="D66" s="119">
        <v>41</v>
      </c>
      <c r="E66" s="119">
        <v>812</v>
      </c>
      <c r="F66" s="120" t="s">
        <v>18</v>
      </c>
      <c r="G66" s="120" t="s">
        <v>16</v>
      </c>
      <c r="H66" s="120" t="s">
        <v>188</v>
      </c>
      <c r="I66" s="119">
        <v>522</v>
      </c>
      <c r="J66" s="135" t="s">
        <v>68</v>
      </c>
      <c r="K66" s="135">
        <v>2.2629999999999999</v>
      </c>
      <c r="L66" s="132">
        <v>2016</v>
      </c>
      <c r="M66" s="215">
        <v>3948884</v>
      </c>
      <c r="N66" s="94">
        <v>3948884</v>
      </c>
      <c r="O66" s="94">
        <v>3948884</v>
      </c>
      <c r="P66" s="221">
        <f t="shared" si="2"/>
        <v>100</v>
      </c>
      <c r="Q66" s="20"/>
      <c r="R66" s="20"/>
      <c r="S66" s="20"/>
      <c r="T66" s="20"/>
      <c r="U66" s="20"/>
      <c r="V66" s="20"/>
      <c r="W66" s="20"/>
    </row>
    <row r="67" spans="1:23" ht="24" customHeight="1" x14ac:dyDescent="0.2">
      <c r="A67" s="136" t="s">
        <v>168</v>
      </c>
      <c r="B67" s="119"/>
      <c r="C67" s="119"/>
      <c r="D67" s="119"/>
      <c r="E67" s="119"/>
      <c r="F67" s="120"/>
      <c r="G67" s="120"/>
      <c r="H67" s="120"/>
      <c r="I67" s="119"/>
      <c r="J67" s="132"/>
      <c r="K67" s="132"/>
      <c r="L67" s="132"/>
      <c r="M67" s="82">
        <f>M68+M70</f>
        <v>2566232</v>
      </c>
      <c r="N67" s="82">
        <f t="shared" ref="N67:O67" si="26">N68+N70</f>
        <v>2066232</v>
      </c>
      <c r="O67" s="82">
        <f t="shared" si="26"/>
        <v>2566232</v>
      </c>
      <c r="P67" s="220">
        <f t="shared" si="2"/>
        <v>100</v>
      </c>
      <c r="Q67" s="20"/>
      <c r="R67" s="20"/>
      <c r="S67" s="20"/>
      <c r="T67" s="20"/>
      <c r="U67" s="20"/>
      <c r="V67" s="20"/>
      <c r="W67" s="20"/>
    </row>
    <row r="68" spans="1:23" ht="39" customHeight="1" x14ac:dyDescent="0.2">
      <c r="A68" s="137" t="s">
        <v>368</v>
      </c>
      <c r="B68" s="119">
        <v>12</v>
      </c>
      <c r="C68" s="119">
        <v>1</v>
      </c>
      <c r="D68" s="119">
        <v>41</v>
      </c>
      <c r="E68" s="119">
        <v>812</v>
      </c>
      <c r="F68" s="120" t="s">
        <v>18</v>
      </c>
      <c r="G68" s="120" t="s">
        <v>16</v>
      </c>
      <c r="H68" s="120" t="s">
        <v>188</v>
      </c>
      <c r="I68" s="119">
        <v>522</v>
      </c>
      <c r="J68" s="132" t="s">
        <v>68</v>
      </c>
      <c r="K68" s="132">
        <v>1.3129999999999999</v>
      </c>
      <c r="L68" s="132">
        <v>2016</v>
      </c>
      <c r="M68" s="81">
        <v>1206195</v>
      </c>
      <c r="N68" s="94">
        <f>1206195-500000</f>
        <v>706195</v>
      </c>
      <c r="O68" s="94">
        <v>1206195</v>
      </c>
      <c r="P68" s="221">
        <f t="shared" si="2"/>
        <v>100</v>
      </c>
      <c r="Q68" s="20"/>
      <c r="R68" s="20"/>
      <c r="S68" s="20"/>
      <c r="T68" s="20"/>
      <c r="U68" s="20"/>
      <c r="V68" s="20"/>
      <c r="W68" s="20"/>
    </row>
    <row r="69" spans="1:23" ht="36" customHeight="1" x14ac:dyDescent="0.2">
      <c r="A69" s="144" t="s">
        <v>191</v>
      </c>
      <c r="B69" s="119"/>
      <c r="C69" s="119"/>
      <c r="D69" s="119"/>
      <c r="E69" s="119"/>
      <c r="F69" s="120"/>
      <c r="G69" s="120"/>
      <c r="H69" s="120"/>
      <c r="I69" s="119"/>
      <c r="J69" s="132"/>
      <c r="K69" s="132"/>
      <c r="L69" s="132"/>
      <c r="M69" s="81">
        <v>500000</v>
      </c>
      <c r="N69" s="94"/>
      <c r="O69" s="94">
        <v>500000</v>
      </c>
      <c r="P69" s="221">
        <f t="shared" si="2"/>
        <v>100</v>
      </c>
      <c r="Q69" s="20"/>
      <c r="R69" s="20"/>
      <c r="S69" s="20"/>
      <c r="T69" s="20"/>
      <c r="U69" s="20"/>
      <c r="V69" s="20"/>
      <c r="W69" s="20"/>
    </row>
    <row r="70" spans="1:23" ht="36.75" customHeight="1" x14ac:dyDescent="0.2">
      <c r="A70" s="137" t="s">
        <v>376</v>
      </c>
      <c r="B70" s="119">
        <v>12</v>
      </c>
      <c r="C70" s="119">
        <v>1</v>
      </c>
      <c r="D70" s="119">
        <v>41</v>
      </c>
      <c r="E70" s="119">
        <v>812</v>
      </c>
      <c r="F70" s="120" t="s">
        <v>18</v>
      </c>
      <c r="G70" s="120" t="s">
        <v>16</v>
      </c>
      <c r="H70" s="120" t="s">
        <v>188</v>
      </c>
      <c r="I70" s="119">
        <v>522</v>
      </c>
      <c r="J70" s="135" t="s">
        <v>280</v>
      </c>
      <c r="K70" s="135" t="s">
        <v>281</v>
      </c>
      <c r="L70" s="132">
        <v>2016</v>
      </c>
      <c r="M70" s="81">
        <v>1360037</v>
      </c>
      <c r="N70" s="94">
        <v>1360037</v>
      </c>
      <c r="O70" s="94">
        <v>1360037</v>
      </c>
      <c r="P70" s="221">
        <f t="shared" si="2"/>
        <v>100</v>
      </c>
      <c r="Q70" s="20"/>
      <c r="R70" s="20"/>
      <c r="S70" s="20"/>
      <c r="T70" s="20"/>
      <c r="U70" s="20"/>
      <c r="V70" s="20"/>
      <c r="W70" s="20"/>
    </row>
    <row r="71" spans="1:23" ht="24.75" customHeight="1" x14ac:dyDescent="0.2">
      <c r="A71" s="145" t="s">
        <v>282</v>
      </c>
      <c r="B71" s="119"/>
      <c r="C71" s="119"/>
      <c r="D71" s="119"/>
      <c r="E71" s="119"/>
      <c r="F71" s="120"/>
      <c r="G71" s="120"/>
      <c r="H71" s="120"/>
      <c r="I71" s="119"/>
      <c r="J71" s="135"/>
      <c r="K71" s="135"/>
      <c r="L71" s="132"/>
      <c r="M71" s="82">
        <f>M72</f>
        <v>2343391</v>
      </c>
      <c r="N71" s="82">
        <f t="shared" ref="N71:O71" si="27">N72</f>
        <v>2343391</v>
      </c>
      <c r="O71" s="82">
        <f t="shared" si="27"/>
        <v>2343391</v>
      </c>
      <c r="P71" s="220">
        <f t="shared" si="2"/>
        <v>100</v>
      </c>
      <c r="Q71" s="20"/>
      <c r="R71" s="20"/>
      <c r="S71" s="20"/>
      <c r="T71" s="20"/>
      <c r="U71" s="20"/>
      <c r="V71" s="20"/>
      <c r="W71" s="20"/>
    </row>
    <row r="72" spans="1:23" ht="25.5" customHeight="1" x14ac:dyDescent="0.2">
      <c r="A72" s="146" t="s">
        <v>283</v>
      </c>
      <c r="B72" s="119">
        <v>12</v>
      </c>
      <c r="C72" s="119">
        <v>1</v>
      </c>
      <c r="D72" s="119">
        <v>41</v>
      </c>
      <c r="E72" s="119">
        <v>812</v>
      </c>
      <c r="F72" s="120" t="s">
        <v>18</v>
      </c>
      <c r="G72" s="120" t="s">
        <v>16</v>
      </c>
      <c r="H72" s="120" t="s">
        <v>188</v>
      </c>
      <c r="I72" s="119">
        <v>522</v>
      </c>
      <c r="J72" s="135" t="s">
        <v>284</v>
      </c>
      <c r="K72" s="135">
        <v>1842</v>
      </c>
      <c r="L72" s="132">
        <v>2016</v>
      </c>
      <c r="M72" s="81">
        <v>2343391</v>
      </c>
      <c r="N72" s="94">
        <v>2343391</v>
      </c>
      <c r="O72" s="94">
        <v>2343391</v>
      </c>
      <c r="P72" s="221">
        <f t="shared" si="2"/>
        <v>100</v>
      </c>
      <c r="Q72" s="20"/>
      <c r="R72" s="20"/>
      <c r="S72" s="20"/>
      <c r="T72" s="20"/>
      <c r="U72" s="20"/>
      <c r="V72" s="20"/>
      <c r="W72" s="20"/>
    </row>
    <row r="73" spans="1:23" ht="24.75" customHeight="1" x14ac:dyDescent="0.2">
      <c r="A73" s="217" t="s">
        <v>285</v>
      </c>
      <c r="B73" s="119"/>
      <c r="C73" s="119"/>
      <c r="D73" s="119"/>
      <c r="E73" s="119"/>
      <c r="F73" s="120"/>
      <c r="G73" s="120"/>
      <c r="H73" s="120"/>
      <c r="I73" s="119"/>
      <c r="J73" s="135"/>
      <c r="K73" s="135"/>
      <c r="L73" s="132"/>
      <c r="M73" s="82">
        <f>M74+M75</f>
        <v>8247213</v>
      </c>
      <c r="N73" s="82">
        <f t="shared" ref="N73:O73" si="28">N74+N75</f>
        <v>8247212.75</v>
      </c>
      <c r="O73" s="82">
        <f t="shared" si="28"/>
        <v>8247212.75</v>
      </c>
      <c r="P73" s="220">
        <f t="shared" ref="P73:P136" si="29">O73/M73*100</f>
        <v>99.999996968672932</v>
      </c>
      <c r="Q73" s="20"/>
      <c r="R73" s="20"/>
      <c r="S73" s="20"/>
      <c r="T73" s="20"/>
      <c r="U73" s="20"/>
      <c r="V73" s="20"/>
      <c r="W73" s="20"/>
    </row>
    <row r="74" spans="1:23" ht="62.25" customHeight="1" x14ac:dyDescent="0.2">
      <c r="A74" s="147" t="s">
        <v>369</v>
      </c>
      <c r="B74" s="119">
        <v>12</v>
      </c>
      <c r="C74" s="119">
        <v>1</v>
      </c>
      <c r="D74" s="119">
        <v>41</v>
      </c>
      <c r="E74" s="119">
        <v>812</v>
      </c>
      <c r="F74" s="120" t="s">
        <v>18</v>
      </c>
      <c r="G74" s="120" t="s">
        <v>16</v>
      </c>
      <c r="H74" s="120" t="s">
        <v>188</v>
      </c>
      <c r="I74" s="119">
        <v>522</v>
      </c>
      <c r="J74" s="135" t="s">
        <v>286</v>
      </c>
      <c r="K74" s="135" t="s">
        <v>287</v>
      </c>
      <c r="L74" s="132">
        <v>2016</v>
      </c>
      <c r="M74" s="81">
        <v>5775684</v>
      </c>
      <c r="N74" s="94">
        <v>5775683.75</v>
      </c>
      <c r="O74" s="94">
        <v>5775683.75</v>
      </c>
      <c r="P74" s="221">
        <f t="shared" si="29"/>
        <v>99.999995671508344</v>
      </c>
      <c r="Q74" s="20"/>
      <c r="R74" s="20"/>
      <c r="S74" s="20"/>
      <c r="T74" s="20"/>
      <c r="U74" s="20"/>
      <c r="V74" s="20"/>
      <c r="W74" s="20"/>
    </row>
    <row r="75" spans="1:23" ht="37.5" customHeight="1" x14ac:dyDescent="0.2">
      <c r="A75" s="147" t="s">
        <v>391</v>
      </c>
      <c r="B75" s="119">
        <v>12</v>
      </c>
      <c r="C75" s="119">
        <v>1</v>
      </c>
      <c r="D75" s="119">
        <v>41</v>
      </c>
      <c r="E75" s="119">
        <v>812</v>
      </c>
      <c r="F75" s="120" t="s">
        <v>18</v>
      </c>
      <c r="G75" s="120" t="s">
        <v>16</v>
      </c>
      <c r="H75" s="120" t="s">
        <v>188</v>
      </c>
      <c r="I75" s="119">
        <v>522</v>
      </c>
      <c r="J75" s="135" t="s">
        <v>68</v>
      </c>
      <c r="K75" s="135">
        <v>3.3730000000000002</v>
      </c>
      <c r="L75" s="132">
        <v>2016</v>
      </c>
      <c r="M75" s="81">
        <v>2471529</v>
      </c>
      <c r="N75" s="94">
        <v>2471529</v>
      </c>
      <c r="O75" s="94">
        <v>2471529</v>
      </c>
      <c r="P75" s="221">
        <f t="shared" si="29"/>
        <v>100</v>
      </c>
      <c r="Q75" s="20"/>
      <c r="R75" s="20"/>
      <c r="S75" s="20"/>
      <c r="T75" s="20"/>
      <c r="U75" s="20"/>
      <c r="V75" s="20"/>
      <c r="W75" s="20"/>
    </row>
    <row r="76" spans="1:23" ht="27.75" customHeight="1" x14ac:dyDescent="0.2">
      <c r="A76" s="49" t="s">
        <v>28</v>
      </c>
      <c r="B76" s="95" t="s">
        <v>25</v>
      </c>
      <c r="C76" s="95">
        <v>0</v>
      </c>
      <c r="D76" s="95"/>
      <c r="E76" s="95"/>
      <c r="F76" s="95"/>
      <c r="G76" s="95"/>
      <c r="H76" s="95"/>
      <c r="I76" s="95"/>
      <c r="J76" s="96"/>
      <c r="K76" s="96"/>
      <c r="L76" s="97"/>
      <c r="M76" s="213">
        <f>M78</f>
        <v>37153912.18</v>
      </c>
      <c r="N76" s="213">
        <f t="shared" ref="N76:O76" si="30">N78</f>
        <v>30274479.18</v>
      </c>
      <c r="O76" s="213">
        <f t="shared" si="30"/>
        <v>32653906.18</v>
      </c>
      <c r="P76" s="220">
        <f t="shared" si="29"/>
        <v>87.888204132585642</v>
      </c>
      <c r="Q76" s="20"/>
      <c r="R76" s="20"/>
      <c r="S76" s="20"/>
      <c r="T76" s="20"/>
      <c r="U76" s="20"/>
      <c r="V76" s="20"/>
      <c r="W76" s="20"/>
    </row>
    <row r="77" spans="1:23" ht="27.75" customHeight="1" x14ac:dyDescent="0.2">
      <c r="A77" s="90" t="s">
        <v>179</v>
      </c>
      <c r="B77" s="148">
        <v>14</v>
      </c>
      <c r="C77" s="148">
        <v>0</v>
      </c>
      <c r="D77" s="148">
        <v>18</v>
      </c>
      <c r="E77" s="149"/>
      <c r="F77" s="95"/>
      <c r="G77" s="95"/>
      <c r="H77" s="95"/>
      <c r="I77" s="95"/>
      <c r="J77" s="96"/>
      <c r="K77" s="96"/>
      <c r="L77" s="97"/>
      <c r="M77" s="213">
        <f>M78</f>
        <v>37153912.18</v>
      </c>
      <c r="N77" s="213">
        <f t="shared" ref="N77:O81" si="31">N78</f>
        <v>30274479.18</v>
      </c>
      <c r="O77" s="213">
        <f t="shared" si="31"/>
        <v>32653906.18</v>
      </c>
      <c r="P77" s="220">
        <f t="shared" si="29"/>
        <v>87.888204132585642</v>
      </c>
      <c r="Q77" s="20"/>
      <c r="R77" s="20"/>
      <c r="S77" s="20"/>
      <c r="T77" s="20"/>
      <c r="U77" s="20"/>
      <c r="V77" s="20"/>
      <c r="W77" s="20"/>
    </row>
    <row r="78" spans="1:23" ht="26.25" customHeight="1" x14ac:dyDescent="0.2">
      <c r="A78" s="49" t="s">
        <v>31</v>
      </c>
      <c r="B78" s="95">
        <v>14</v>
      </c>
      <c r="C78" s="95">
        <v>0</v>
      </c>
      <c r="D78" s="148">
        <v>18</v>
      </c>
      <c r="E78" s="95">
        <v>819</v>
      </c>
      <c r="F78" s="95"/>
      <c r="G78" s="95"/>
      <c r="H78" s="95"/>
      <c r="I78" s="95"/>
      <c r="J78" s="96"/>
      <c r="K78" s="96"/>
      <c r="L78" s="97"/>
      <c r="M78" s="213">
        <f>M79</f>
        <v>37153912.18</v>
      </c>
      <c r="N78" s="213">
        <f t="shared" si="31"/>
        <v>30274479.18</v>
      </c>
      <c r="O78" s="213">
        <f t="shared" si="31"/>
        <v>32653906.18</v>
      </c>
      <c r="P78" s="220">
        <f t="shared" si="29"/>
        <v>87.888204132585642</v>
      </c>
      <c r="Q78" s="20"/>
      <c r="R78" s="20"/>
      <c r="S78" s="20"/>
      <c r="T78" s="20"/>
      <c r="U78" s="20"/>
      <c r="V78" s="20"/>
      <c r="W78" s="20"/>
    </row>
    <row r="79" spans="1:23" ht="15.75" customHeight="1" x14ac:dyDescent="0.2">
      <c r="A79" s="49" t="s">
        <v>27</v>
      </c>
      <c r="B79" s="95" t="s">
        <v>25</v>
      </c>
      <c r="C79" s="95">
        <v>0</v>
      </c>
      <c r="D79" s="148">
        <v>18</v>
      </c>
      <c r="E79" s="95" t="s">
        <v>32</v>
      </c>
      <c r="F79" s="95" t="s">
        <v>23</v>
      </c>
      <c r="G79" s="95" t="s">
        <v>0</v>
      </c>
      <c r="H79" s="95"/>
      <c r="I79" s="95"/>
      <c r="J79" s="96"/>
      <c r="K79" s="96"/>
      <c r="L79" s="97"/>
      <c r="M79" s="213">
        <f>M80</f>
        <v>37153912.18</v>
      </c>
      <c r="N79" s="213">
        <f t="shared" si="31"/>
        <v>30274479.18</v>
      </c>
      <c r="O79" s="213">
        <f t="shared" si="31"/>
        <v>32653906.18</v>
      </c>
      <c r="P79" s="220">
        <f t="shared" si="29"/>
        <v>87.888204132585642</v>
      </c>
      <c r="Q79" s="20"/>
      <c r="R79" s="20"/>
      <c r="S79" s="20"/>
      <c r="T79" s="20"/>
      <c r="U79" s="20"/>
      <c r="V79" s="20"/>
      <c r="W79" s="20"/>
    </row>
    <row r="80" spans="1:23" s="1" customFormat="1" ht="15.75" customHeight="1" x14ac:dyDescent="0.2">
      <c r="A80" s="49" t="s">
        <v>29</v>
      </c>
      <c r="B80" s="95">
        <v>14</v>
      </c>
      <c r="C80" s="95">
        <v>0</v>
      </c>
      <c r="D80" s="148">
        <v>18</v>
      </c>
      <c r="E80" s="95" t="s">
        <v>32</v>
      </c>
      <c r="F80" s="95" t="s">
        <v>23</v>
      </c>
      <c r="G80" s="115" t="s">
        <v>15</v>
      </c>
      <c r="H80" s="95"/>
      <c r="I80" s="95"/>
      <c r="J80" s="96"/>
      <c r="K80" s="96"/>
      <c r="L80" s="97"/>
      <c r="M80" s="213">
        <f>M81</f>
        <v>37153912.18</v>
      </c>
      <c r="N80" s="213">
        <f t="shared" si="31"/>
        <v>30274479.18</v>
      </c>
      <c r="O80" s="213">
        <f t="shared" si="31"/>
        <v>32653906.18</v>
      </c>
      <c r="P80" s="220">
        <f t="shared" si="29"/>
        <v>87.888204132585642</v>
      </c>
      <c r="Q80" s="20"/>
      <c r="R80" s="20"/>
      <c r="S80" s="20"/>
      <c r="T80" s="20"/>
      <c r="U80" s="20"/>
      <c r="V80" s="20"/>
      <c r="W80" s="20"/>
    </row>
    <row r="81" spans="1:23" s="1" customFormat="1" ht="39" customHeight="1" x14ac:dyDescent="0.2">
      <c r="A81" s="49" t="s">
        <v>84</v>
      </c>
      <c r="B81" s="95" t="s">
        <v>25</v>
      </c>
      <c r="C81" s="95">
        <v>0</v>
      </c>
      <c r="D81" s="148">
        <v>18</v>
      </c>
      <c r="E81" s="95" t="s">
        <v>32</v>
      </c>
      <c r="F81" s="95" t="s">
        <v>23</v>
      </c>
      <c r="G81" s="115" t="s">
        <v>15</v>
      </c>
      <c r="H81" s="95">
        <v>11270</v>
      </c>
      <c r="I81" s="95" t="s">
        <v>0</v>
      </c>
      <c r="J81" s="96"/>
      <c r="K81" s="96"/>
      <c r="L81" s="97"/>
      <c r="M81" s="213">
        <f>M82</f>
        <v>37153912.18</v>
      </c>
      <c r="N81" s="213">
        <f t="shared" si="31"/>
        <v>30274479.18</v>
      </c>
      <c r="O81" s="213">
        <f t="shared" si="31"/>
        <v>32653906.18</v>
      </c>
      <c r="P81" s="220">
        <f t="shared" si="29"/>
        <v>87.888204132585642</v>
      </c>
      <c r="Q81" s="20"/>
      <c r="R81" s="20"/>
      <c r="S81" s="20"/>
      <c r="T81" s="20"/>
      <c r="U81" s="20"/>
      <c r="V81" s="20"/>
      <c r="W81" s="20"/>
    </row>
    <row r="82" spans="1:23" s="1" customFormat="1" ht="51" customHeight="1" x14ac:dyDescent="0.2">
      <c r="A82" s="49" t="s">
        <v>80</v>
      </c>
      <c r="B82" s="95" t="s">
        <v>25</v>
      </c>
      <c r="C82" s="95">
        <v>0</v>
      </c>
      <c r="D82" s="148">
        <v>18</v>
      </c>
      <c r="E82" s="95" t="s">
        <v>32</v>
      </c>
      <c r="F82" s="95" t="s">
        <v>23</v>
      </c>
      <c r="G82" s="115" t="s">
        <v>15</v>
      </c>
      <c r="H82" s="95">
        <v>11270</v>
      </c>
      <c r="I82" s="95" t="s">
        <v>81</v>
      </c>
      <c r="J82" s="96"/>
      <c r="K82" s="96"/>
      <c r="L82" s="97"/>
      <c r="M82" s="213">
        <f>M85+M83+M88</f>
        <v>37153912.18</v>
      </c>
      <c r="N82" s="213">
        <f t="shared" ref="N82:O82" si="32">N85+N83+N88</f>
        <v>30274479.18</v>
      </c>
      <c r="O82" s="213">
        <f t="shared" si="32"/>
        <v>32653906.18</v>
      </c>
      <c r="P82" s="220">
        <f t="shared" si="29"/>
        <v>87.888204132585642</v>
      </c>
      <c r="Q82" s="20"/>
      <c r="R82" s="20"/>
      <c r="S82" s="20"/>
      <c r="T82" s="20"/>
      <c r="U82" s="20"/>
      <c r="V82" s="20"/>
      <c r="W82" s="20"/>
    </row>
    <row r="83" spans="1:23" s="1" customFormat="1" ht="18.75" customHeight="1" x14ac:dyDescent="0.2">
      <c r="A83" s="49" t="s">
        <v>72</v>
      </c>
      <c r="B83" s="95"/>
      <c r="C83" s="95"/>
      <c r="D83" s="95"/>
      <c r="E83" s="95"/>
      <c r="F83" s="95"/>
      <c r="G83" s="115"/>
      <c r="H83" s="95"/>
      <c r="I83" s="95"/>
      <c r="J83" s="96"/>
      <c r="K83" s="96"/>
      <c r="L83" s="97"/>
      <c r="M83" s="213">
        <f>M84</f>
        <v>30274485.18</v>
      </c>
      <c r="N83" s="213">
        <f t="shared" ref="N83:O83" si="33">N84</f>
        <v>30274479.18</v>
      </c>
      <c r="O83" s="213">
        <f t="shared" si="33"/>
        <v>30274479.18</v>
      </c>
      <c r="P83" s="220">
        <f t="shared" si="29"/>
        <v>99.999980181331026</v>
      </c>
      <c r="Q83" s="20"/>
      <c r="R83" s="20"/>
      <c r="S83" s="20"/>
      <c r="T83" s="20"/>
      <c r="U83" s="20"/>
      <c r="V83" s="20"/>
      <c r="W83" s="20"/>
    </row>
    <row r="84" spans="1:23" s="1" customFormat="1" x14ac:dyDescent="0.2">
      <c r="A84" s="98" t="s">
        <v>328</v>
      </c>
      <c r="B84" s="99" t="s">
        <v>25</v>
      </c>
      <c r="C84" s="99">
        <v>0</v>
      </c>
      <c r="D84" s="99">
        <v>18</v>
      </c>
      <c r="E84" s="99" t="s">
        <v>32</v>
      </c>
      <c r="F84" s="99" t="s">
        <v>23</v>
      </c>
      <c r="G84" s="150" t="s">
        <v>15</v>
      </c>
      <c r="H84" s="99">
        <v>11270</v>
      </c>
      <c r="I84" s="99" t="s">
        <v>81</v>
      </c>
      <c r="J84" s="97" t="s">
        <v>118</v>
      </c>
      <c r="K84" s="103">
        <v>2205.8000000000002</v>
      </c>
      <c r="L84" s="103">
        <v>2016</v>
      </c>
      <c r="M84" s="89">
        <f>13425300-3000000+10000000-500000+13330000-2980814.82</f>
        <v>30274485.18</v>
      </c>
      <c r="N84" s="94">
        <f>O84</f>
        <v>30274479.18</v>
      </c>
      <c r="O84" s="208">
        <v>30274479.18</v>
      </c>
      <c r="P84" s="221">
        <f t="shared" si="29"/>
        <v>99.999980181331026</v>
      </c>
      <c r="Q84" s="20"/>
      <c r="R84" s="20"/>
      <c r="S84" s="20"/>
      <c r="T84" s="20"/>
      <c r="U84" s="20"/>
      <c r="V84" s="20"/>
      <c r="W84" s="20"/>
    </row>
    <row r="85" spans="1:23" s="1" customFormat="1" ht="15" customHeight="1" x14ac:dyDescent="0.2">
      <c r="A85" s="49" t="s">
        <v>66</v>
      </c>
      <c r="B85" s="95"/>
      <c r="C85" s="95"/>
      <c r="D85" s="95"/>
      <c r="E85" s="95"/>
      <c r="F85" s="95"/>
      <c r="G85" s="115"/>
      <c r="H85" s="95"/>
      <c r="I85" s="95"/>
      <c r="J85" s="97"/>
      <c r="K85" s="103"/>
      <c r="L85" s="97"/>
      <c r="M85" s="210">
        <f>M86</f>
        <v>2379427</v>
      </c>
      <c r="N85" s="210">
        <f t="shared" ref="N85:O85" si="34">N86</f>
        <v>0</v>
      </c>
      <c r="O85" s="210">
        <f t="shared" si="34"/>
        <v>2379427</v>
      </c>
      <c r="P85" s="220">
        <f t="shared" si="29"/>
        <v>100</v>
      </c>
      <c r="Q85" s="20"/>
      <c r="R85" s="20"/>
      <c r="S85" s="20"/>
      <c r="T85" s="20"/>
      <c r="U85" s="20"/>
      <c r="V85" s="20"/>
      <c r="W85" s="20"/>
    </row>
    <row r="86" spans="1:23" s="1" customFormat="1" ht="50.25" customHeight="1" x14ac:dyDescent="0.2">
      <c r="A86" s="98" t="s">
        <v>329</v>
      </c>
      <c r="B86" s="99" t="s">
        <v>25</v>
      </c>
      <c r="C86" s="99">
        <v>0</v>
      </c>
      <c r="D86" s="99">
        <v>18</v>
      </c>
      <c r="E86" s="99" t="s">
        <v>32</v>
      </c>
      <c r="F86" s="99" t="s">
        <v>23</v>
      </c>
      <c r="G86" s="150" t="s">
        <v>15</v>
      </c>
      <c r="H86" s="99">
        <v>11270</v>
      </c>
      <c r="I86" s="99" t="s">
        <v>81</v>
      </c>
      <c r="J86" s="97" t="s">
        <v>88</v>
      </c>
      <c r="K86" s="103">
        <v>50</v>
      </c>
      <c r="L86" s="97"/>
      <c r="M86" s="94">
        <v>2379427</v>
      </c>
      <c r="N86" s="94">
        <v>0</v>
      </c>
      <c r="O86" s="208">
        <v>2379427</v>
      </c>
      <c r="P86" s="221">
        <f t="shared" si="29"/>
        <v>100</v>
      </c>
      <c r="Q86" s="20"/>
      <c r="R86" s="20"/>
      <c r="S86" s="20"/>
      <c r="T86" s="20"/>
      <c r="U86" s="20"/>
      <c r="V86" s="20"/>
      <c r="W86" s="20"/>
    </row>
    <row r="87" spans="1:23" s="1" customFormat="1" ht="36.75" customHeight="1" x14ac:dyDescent="0.2">
      <c r="A87" s="129" t="s">
        <v>224</v>
      </c>
      <c r="B87" s="99"/>
      <c r="C87" s="99"/>
      <c r="D87" s="99"/>
      <c r="E87" s="99"/>
      <c r="F87" s="99"/>
      <c r="G87" s="150"/>
      <c r="H87" s="99"/>
      <c r="I87" s="99"/>
      <c r="J87" s="97"/>
      <c r="K87" s="103"/>
      <c r="L87" s="97"/>
      <c r="M87" s="94">
        <v>2379427</v>
      </c>
      <c r="N87" s="94">
        <v>0</v>
      </c>
      <c r="O87" s="208">
        <v>2379427</v>
      </c>
      <c r="P87" s="221">
        <f t="shared" si="29"/>
        <v>100</v>
      </c>
      <c r="Q87" s="20"/>
      <c r="R87" s="20"/>
      <c r="S87" s="20"/>
      <c r="T87" s="20"/>
      <c r="U87" s="20"/>
      <c r="V87" s="20"/>
      <c r="W87" s="20"/>
    </row>
    <row r="88" spans="1:23" s="1" customFormat="1" ht="19.5" customHeight="1" x14ac:dyDescent="0.2">
      <c r="A88" s="49" t="s">
        <v>82</v>
      </c>
      <c r="B88" s="99"/>
      <c r="C88" s="99"/>
      <c r="D88" s="99"/>
      <c r="E88" s="99"/>
      <c r="F88" s="99"/>
      <c r="G88" s="150"/>
      <c r="H88" s="99"/>
      <c r="I88" s="99"/>
      <c r="J88" s="97"/>
      <c r="K88" s="103"/>
      <c r="L88" s="97"/>
      <c r="M88" s="210">
        <f>M89</f>
        <v>4500000</v>
      </c>
      <c r="N88" s="210">
        <f t="shared" ref="N88:O88" si="35">N89</f>
        <v>0</v>
      </c>
      <c r="O88" s="210">
        <f t="shared" si="35"/>
        <v>0</v>
      </c>
      <c r="P88" s="220">
        <f t="shared" si="29"/>
        <v>0</v>
      </c>
      <c r="Q88" s="20"/>
      <c r="R88" s="20"/>
      <c r="S88" s="20"/>
      <c r="T88" s="20"/>
      <c r="U88" s="20"/>
      <c r="V88" s="20"/>
      <c r="W88" s="20"/>
    </row>
    <row r="89" spans="1:23" s="1" customFormat="1" ht="26.25" customHeight="1" x14ac:dyDescent="0.2">
      <c r="A89" s="151" t="s">
        <v>330</v>
      </c>
      <c r="B89" s="102" t="s">
        <v>25</v>
      </c>
      <c r="C89" s="102">
        <v>0</v>
      </c>
      <c r="D89" s="102">
        <v>18</v>
      </c>
      <c r="E89" s="102" t="s">
        <v>32</v>
      </c>
      <c r="F89" s="102" t="s">
        <v>23</v>
      </c>
      <c r="G89" s="152" t="s">
        <v>15</v>
      </c>
      <c r="H89" s="102">
        <v>11270</v>
      </c>
      <c r="I89" s="102" t="s">
        <v>81</v>
      </c>
      <c r="J89" s="103" t="s">
        <v>118</v>
      </c>
      <c r="K89" s="125">
        <v>2803.3</v>
      </c>
      <c r="L89" s="97"/>
      <c r="M89" s="94">
        <v>4500000</v>
      </c>
      <c r="N89" s="94">
        <v>0</v>
      </c>
      <c r="O89" s="94">
        <v>0</v>
      </c>
      <c r="P89" s="221">
        <f t="shared" si="29"/>
        <v>0</v>
      </c>
      <c r="Q89" s="20"/>
      <c r="R89" s="20"/>
      <c r="S89" s="20"/>
      <c r="T89" s="20"/>
      <c r="U89" s="20"/>
      <c r="V89" s="20"/>
      <c r="W89" s="20"/>
    </row>
    <row r="90" spans="1:23" ht="30" customHeight="1" x14ac:dyDescent="0.2">
      <c r="A90" s="49" t="s">
        <v>36</v>
      </c>
      <c r="B90" s="95">
        <v>15</v>
      </c>
      <c r="C90" s="95">
        <v>0</v>
      </c>
      <c r="D90" s="95"/>
      <c r="E90" s="99"/>
      <c r="F90" s="99"/>
      <c r="G90" s="99"/>
      <c r="H90" s="99"/>
      <c r="I90" s="99"/>
      <c r="J90" s="153"/>
      <c r="K90" s="124"/>
      <c r="L90" s="154"/>
      <c r="M90" s="213">
        <f>M92+M100</f>
        <v>11004075.67</v>
      </c>
      <c r="N90" s="213">
        <f t="shared" ref="N90:O90" si="36">N92+N100</f>
        <v>9928329.7599999998</v>
      </c>
      <c r="O90" s="213">
        <f t="shared" si="36"/>
        <v>9933329.4299999997</v>
      </c>
      <c r="P90" s="220">
        <f t="shared" si="29"/>
        <v>90.269548555367209</v>
      </c>
      <c r="Q90" s="20"/>
      <c r="R90" s="20"/>
      <c r="S90" s="20"/>
      <c r="T90" s="20"/>
      <c r="U90" s="20"/>
      <c r="V90" s="20"/>
      <c r="W90" s="20"/>
    </row>
    <row r="91" spans="1:23" ht="27" customHeight="1" x14ac:dyDescent="0.2">
      <c r="A91" s="90" t="s">
        <v>178</v>
      </c>
      <c r="B91" s="148">
        <v>15</v>
      </c>
      <c r="C91" s="148">
        <v>0</v>
      </c>
      <c r="D91" s="148">
        <v>12</v>
      </c>
      <c r="E91" s="99"/>
      <c r="F91" s="99"/>
      <c r="G91" s="99"/>
      <c r="H91" s="99"/>
      <c r="I91" s="99"/>
      <c r="J91" s="153"/>
      <c r="K91" s="124"/>
      <c r="L91" s="154"/>
      <c r="M91" s="213">
        <f>M92+M100</f>
        <v>11004075.67</v>
      </c>
      <c r="N91" s="213">
        <f t="shared" ref="N91:O91" si="37">N92+N100</f>
        <v>9928329.7599999998</v>
      </c>
      <c r="O91" s="213">
        <f t="shared" si="37"/>
        <v>9933329.4299999997</v>
      </c>
      <c r="P91" s="220">
        <f t="shared" si="29"/>
        <v>90.269548555367209</v>
      </c>
      <c r="Q91" s="20"/>
      <c r="R91" s="20"/>
      <c r="S91" s="20"/>
      <c r="T91" s="20"/>
      <c r="U91" s="20"/>
      <c r="V91" s="20"/>
      <c r="W91" s="20"/>
    </row>
    <row r="92" spans="1:23" ht="25.5" customHeight="1" x14ac:dyDescent="0.2">
      <c r="A92" s="49" t="s">
        <v>31</v>
      </c>
      <c r="B92" s="95">
        <v>15</v>
      </c>
      <c r="C92" s="95">
        <v>0</v>
      </c>
      <c r="D92" s="148">
        <v>12</v>
      </c>
      <c r="E92" s="95">
        <v>819</v>
      </c>
      <c r="F92" s="99"/>
      <c r="G92" s="99"/>
      <c r="H92" s="99"/>
      <c r="I92" s="99"/>
      <c r="J92" s="153"/>
      <c r="K92" s="124"/>
      <c r="L92" s="154"/>
      <c r="M92" s="213">
        <f t="shared" ref="M92:O97" si="38">M93</f>
        <v>1004075.67</v>
      </c>
      <c r="N92" s="213">
        <f t="shared" si="38"/>
        <v>999076</v>
      </c>
      <c r="O92" s="213">
        <f t="shared" si="38"/>
        <v>1004075.67</v>
      </c>
      <c r="P92" s="220">
        <f t="shared" si="29"/>
        <v>100</v>
      </c>
      <c r="Q92" s="20"/>
      <c r="R92" s="20"/>
      <c r="S92" s="20"/>
      <c r="T92" s="20"/>
      <c r="U92" s="20"/>
      <c r="V92" s="20"/>
      <c r="W92" s="20"/>
    </row>
    <row r="93" spans="1:23" ht="21" customHeight="1" x14ac:dyDescent="0.2">
      <c r="A93" s="49" t="s">
        <v>38</v>
      </c>
      <c r="B93" s="95" t="s">
        <v>37</v>
      </c>
      <c r="C93" s="95">
        <v>0</v>
      </c>
      <c r="D93" s="148">
        <v>12</v>
      </c>
      <c r="E93" s="95" t="s">
        <v>32</v>
      </c>
      <c r="F93" s="95" t="s">
        <v>20</v>
      </c>
      <c r="G93" s="95" t="s">
        <v>0</v>
      </c>
      <c r="H93" s="99"/>
      <c r="I93" s="99"/>
      <c r="J93" s="153"/>
      <c r="K93" s="124"/>
      <c r="L93" s="154"/>
      <c r="M93" s="213">
        <f t="shared" si="38"/>
        <v>1004075.67</v>
      </c>
      <c r="N93" s="213">
        <f t="shared" si="38"/>
        <v>999076</v>
      </c>
      <c r="O93" s="213">
        <f t="shared" si="38"/>
        <v>1004075.67</v>
      </c>
      <c r="P93" s="220">
        <f t="shared" si="29"/>
        <v>100</v>
      </c>
      <c r="Q93" s="20"/>
      <c r="R93" s="20"/>
      <c r="S93" s="20"/>
      <c r="T93" s="20"/>
      <c r="U93" s="20"/>
      <c r="V93" s="20"/>
      <c r="W93" s="20"/>
    </row>
    <row r="94" spans="1:23" ht="19.5" customHeight="1" x14ac:dyDescent="0.2">
      <c r="A94" s="49" t="s">
        <v>39</v>
      </c>
      <c r="B94" s="95" t="s">
        <v>37</v>
      </c>
      <c r="C94" s="95">
        <v>0</v>
      </c>
      <c r="D94" s="148">
        <v>12</v>
      </c>
      <c r="E94" s="95" t="s">
        <v>32</v>
      </c>
      <c r="F94" s="95" t="s">
        <v>20</v>
      </c>
      <c r="G94" s="95" t="s">
        <v>15</v>
      </c>
      <c r="H94" s="99"/>
      <c r="I94" s="99"/>
      <c r="J94" s="154"/>
      <c r="K94" s="154"/>
      <c r="L94" s="154"/>
      <c r="M94" s="213">
        <f t="shared" si="38"/>
        <v>1004075.67</v>
      </c>
      <c r="N94" s="213">
        <f t="shared" si="38"/>
        <v>999076</v>
      </c>
      <c r="O94" s="213">
        <f t="shared" si="38"/>
        <v>1004075.67</v>
      </c>
      <c r="P94" s="220">
        <f t="shared" si="29"/>
        <v>100</v>
      </c>
      <c r="Q94" s="20"/>
      <c r="R94" s="20"/>
      <c r="S94" s="20"/>
      <c r="T94" s="20"/>
      <c r="U94" s="20"/>
      <c r="V94" s="20"/>
      <c r="W94" s="20"/>
    </row>
    <row r="95" spans="1:23" ht="39" customHeight="1" x14ac:dyDescent="0.2">
      <c r="A95" s="49" t="s">
        <v>84</v>
      </c>
      <c r="B95" s="95" t="s">
        <v>37</v>
      </c>
      <c r="C95" s="95">
        <v>0</v>
      </c>
      <c r="D95" s="148">
        <v>12</v>
      </c>
      <c r="E95" s="95" t="s">
        <v>32</v>
      </c>
      <c r="F95" s="95" t="s">
        <v>20</v>
      </c>
      <c r="G95" s="95" t="s">
        <v>15</v>
      </c>
      <c r="H95" s="95">
        <v>11270</v>
      </c>
      <c r="I95" s="95" t="s">
        <v>0</v>
      </c>
      <c r="J95" s="155"/>
      <c r="K95" s="155"/>
      <c r="L95" s="154"/>
      <c r="M95" s="213">
        <f t="shared" si="38"/>
        <v>1004075.67</v>
      </c>
      <c r="N95" s="213">
        <f t="shared" si="38"/>
        <v>999076</v>
      </c>
      <c r="O95" s="213">
        <f t="shared" si="38"/>
        <v>1004075.67</v>
      </c>
      <c r="P95" s="220">
        <f t="shared" si="29"/>
        <v>100</v>
      </c>
      <c r="Q95" s="20"/>
      <c r="R95" s="20"/>
      <c r="S95" s="20"/>
      <c r="T95" s="20"/>
      <c r="U95" s="20"/>
      <c r="V95" s="20"/>
      <c r="W95" s="20"/>
    </row>
    <row r="96" spans="1:23" ht="48.75" customHeight="1" x14ac:dyDescent="0.2">
      <c r="A96" s="49" t="s">
        <v>80</v>
      </c>
      <c r="B96" s="95" t="s">
        <v>37</v>
      </c>
      <c r="C96" s="95">
        <v>0</v>
      </c>
      <c r="D96" s="148">
        <v>12</v>
      </c>
      <c r="E96" s="95" t="s">
        <v>32</v>
      </c>
      <c r="F96" s="95" t="s">
        <v>20</v>
      </c>
      <c r="G96" s="95" t="s">
        <v>15</v>
      </c>
      <c r="H96" s="95">
        <v>11270</v>
      </c>
      <c r="I96" s="95" t="s">
        <v>81</v>
      </c>
      <c r="J96" s="155"/>
      <c r="K96" s="155"/>
      <c r="L96" s="154"/>
      <c r="M96" s="213">
        <f t="shared" si="38"/>
        <v>1004075.67</v>
      </c>
      <c r="N96" s="213">
        <f t="shared" si="38"/>
        <v>999076</v>
      </c>
      <c r="O96" s="213">
        <f t="shared" si="38"/>
        <v>1004075.67</v>
      </c>
      <c r="P96" s="220">
        <f t="shared" si="29"/>
        <v>100</v>
      </c>
      <c r="Q96" s="20"/>
      <c r="R96" s="20"/>
      <c r="S96" s="20"/>
      <c r="T96" s="20"/>
      <c r="U96" s="20"/>
      <c r="V96" s="20"/>
      <c r="W96" s="20"/>
    </row>
    <row r="97" spans="1:23" ht="20.25" customHeight="1" x14ac:dyDescent="0.2">
      <c r="A97" s="85" t="s">
        <v>74</v>
      </c>
      <c r="B97" s="99"/>
      <c r="C97" s="99"/>
      <c r="D97" s="99"/>
      <c r="E97" s="99"/>
      <c r="F97" s="99"/>
      <c r="G97" s="99"/>
      <c r="H97" s="99"/>
      <c r="I97" s="99"/>
      <c r="J97" s="154"/>
      <c r="K97" s="154"/>
      <c r="L97" s="154"/>
      <c r="M97" s="210">
        <f t="shared" si="38"/>
        <v>1004075.67</v>
      </c>
      <c r="N97" s="210">
        <f t="shared" si="38"/>
        <v>999076</v>
      </c>
      <c r="O97" s="210">
        <f t="shared" si="38"/>
        <v>1004075.67</v>
      </c>
      <c r="P97" s="220">
        <f t="shared" si="29"/>
        <v>100</v>
      </c>
      <c r="Q97" s="20"/>
      <c r="R97" s="20"/>
      <c r="S97" s="20"/>
      <c r="T97" s="20"/>
      <c r="U97" s="20"/>
      <c r="V97" s="20"/>
      <c r="W97" s="20"/>
    </row>
    <row r="98" spans="1:23" s="11" customFormat="1" ht="42" customHeight="1" x14ac:dyDescent="0.2">
      <c r="A98" s="98" t="s">
        <v>331</v>
      </c>
      <c r="B98" s="99" t="s">
        <v>37</v>
      </c>
      <c r="C98" s="99">
        <v>0</v>
      </c>
      <c r="D98" s="99">
        <v>12</v>
      </c>
      <c r="E98" s="99" t="s">
        <v>32</v>
      </c>
      <c r="F98" s="99" t="s">
        <v>20</v>
      </c>
      <c r="G98" s="99" t="s">
        <v>15</v>
      </c>
      <c r="H98" s="99">
        <v>11270</v>
      </c>
      <c r="I98" s="99" t="s">
        <v>81</v>
      </c>
      <c r="J98" s="154" t="s">
        <v>118</v>
      </c>
      <c r="K98" s="156">
        <v>1119.92</v>
      </c>
      <c r="L98" s="154"/>
      <c r="M98" s="89">
        <f>1004076-0.33</f>
        <v>1004075.67</v>
      </c>
      <c r="N98" s="94">
        <f>O98-O99</f>
        <v>999076</v>
      </c>
      <c r="O98" s="206">
        <v>1004075.67</v>
      </c>
      <c r="P98" s="221">
        <f t="shared" si="29"/>
        <v>100</v>
      </c>
      <c r="Q98" s="20"/>
      <c r="R98" s="20"/>
      <c r="S98" s="20"/>
      <c r="T98" s="20"/>
      <c r="U98" s="20"/>
      <c r="V98" s="20"/>
      <c r="W98" s="20"/>
    </row>
    <row r="99" spans="1:23" s="20" customFormat="1" ht="39" customHeight="1" x14ac:dyDescent="0.2">
      <c r="A99" s="52" t="s">
        <v>191</v>
      </c>
      <c r="B99" s="157"/>
      <c r="C99" s="157"/>
      <c r="D99" s="157"/>
      <c r="E99" s="157"/>
      <c r="F99" s="157"/>
      <c r="G99" s="157"/>
      <c r="H99" s="157"/>
      <c r="I99" s="157"/>
      <c r="J99" s="158"/>
      <c r="K99" s="159"/>
      <c r="L99" s="159"/>
      <c r="M99" s="81">
        <v>4999.67</v>
      </c>
      <c r="N99" s="94">
        <v>0</v>
      </c>
      <c r="O99" s="218">
        <v>4999.67</v>
      </c>
      <c r="P99" s="221">
        <f t="shared" si="29"/>
        <v>100</v>
      </c>
    </row>
    <row r="100" spans="1:23" s="11" customFormat="1" ht="27" customHeight="1" x14ac:dyDescent="0.2">
      <c r="A100" s="90" t="s">
        <v>142</v>
      </c>
      <c r="B100" s="148" t="s">
        <v>37</v>
      </c>
      <c r="C100" s="148">
        <v>0</v>
      </c>
      <c r="D100" s="148">
        <v>12</v>
      </c>
      <c r="E100" s="160">
        <v>815</v>
      </c>
      <c r="F100" s="157"/>
      <c r="G100" s="157"/>
      <c r="H100" s="99"/>
      <c r="I100" s="99"/>
      <c r="J100" s="154"/>
      <c r="K100" s="156"/>
      <c r="L100" s="154"/>
      <c r="M100" s="213">
        <f>M101</f>
        <v>10000000</v>
      </c>
      <c r="N100" s="213">
        <f t="shared" ref="N100:O103" si="39">N101</f>
        <v>8929253.7599999998</v>
      </c>
      <c r="O100" s="213">
        <f t="shared" si="39"/>
        <v>8929253.7599999998</v>
      </c>
      <c r="P100" s="220">
        <f t="shared" si="29"/>
        <v>89.292537600000003</v>
      </c>
      <c r="Q100" s="20"/>
      <c r="R100" s="20"/>
      <c r="S100" s="20"/>
      <c r="T100" s="20"/>
      <c r="U100" s="20"/>
      <c r="V100" s="20"/>
      <c r="W100" s="20"/>
    </row>
    <row r="101" spans="1:23" s="11" customFormat="1" ht="19.5" customHeight="1" x14ac:dyDescent="0.2">
      <c r="A101" s="90" t="s">
        <v>38</v>
      </c>
      <c r="B101" s="148" t="s">
        <v>37</v>
      </c>
      <c r="C101" s="148">
        <v>0</v>
      </c>
      <c r="D101" s="148">
        <v>12</v>
      </c>
      <c r="E101" s="148">
        <v>815</v>
      </c>
      <c r="F101" s="148" t="s">
        <v>20</v>
      </c>
      <c r="G101" s="148" t="s">
        <v>0</v>
      </c>
      <c r="H101" s="99"/>
      <c r="I101" s="99"/>
      <c r="J101" s="154"/>
      <c r="K101" s="156"/>
      <c r="L101" s="154"/>
      <c r="M101" s="213">
        <f>M102</f>
        <v>10000000</v>
      </c>
      <c r="N101" s="213">
        <f t="shared" si="39"/>
        <v>8929253.7599999998</v>
      </c>
      <c r="O101" s="213">
        <f t="shared" si="39"/>
        <v>8929253.7599999998</v>
      </c>
      <c r="P101" s="220">
        <f t="shared" si="29"/>
        <v>89.292537600000003</v>
      </c>
      <c r="Q101" s="20"/>
      <c r="R101" s="20"/>
      <c r="S101" s="20"/>
      <c r="T101" s="20"/>
      <c r="U101" s="20"/>
      <c r="V101" s="20"/>
      <c r="W101" s="20"/>
    </row>
    <row r="102" spans="1:23" s="11" customFormat="1" ht="19.5" customHeight="1" x14ac:dyDescent="0.2">
      <c r="A102" s="90" t="s">
        <v>39</v>
      </c>
      <c r="B102" s="148" t="s">
        <v>37</v>
      </c>
      <c r="C102" s="148">
        <v>0</v>
      </c>
      <c r="D102" s="148">
        <v>12</v>
      </c>
      <c r="E102" s="148">
        <v>815</v>
      </c>
      <c r="F102" s="148" t="s">
        <v>20</v>
      </c>
      <c r="G102" s="148" t="s">
        <v>15</v>
      </c>
      <c r="H102" s="99"/>
      <c r="I102" s="99"/>
      <c r="J102" s="154"/>
      <c r="K102" s="156"/>
      <c r="L102" s="154"/>
      <c r="M102" s="213">
        <f>M103</f>
        <v>10000000</v>
      </c>
      <c r="N102" s="213">
        <f t="shared" si="39"/>
        <v>8929253.7599999998</v>
      </c>
      <c r="O102" s="213">
        <f t="shared" si="39"/>
        <v>8929253.7599999998</v>
      </c>
      <c r="P102" s="220">
        <f t="shared" si="29"/>
        <v>89.292537600000003</v>
      </c>
      <c r="Q102" s="20"/>
      <c r="R102" s="20"/>
      <c r="S102" s="20"/>
      <c r="T102" s="20"/>
      <c r="U102" s="20"/>
      <c r="V102" s="20"/>
      <c r="W102" s="20"/>
    </row>
    <row r="103" spans="1:23" s="11" customFormat="1" ht="40.5" customHeight="1" x14ac:dyDescent="0.2">
      <c r="A103" s="49" t="s">
        <v>84</v>
      </c>
      <c r="B103" s="95" t="s">
        <v>37</v>
      </c>
      <c r="C103" s="95">
        <v>0</v>
      </c>
      <c r="D103" s="148">
        <v>12</v>
      </c>
      <c r="E103" s="148">
        <v>815</v>
      </c>
      <c r="F103" s="95" t="s">
        <v>20</v>
      </c>
      <c r="G103" s="95" t="s">
        <v>15</v>
      </c>
      <c r="H103" s="95">
        <v>11270</v>
      </c>
      <c r="I103" s="95" t="s">
        <v>0</v>
      </c>
      <c r="J103" s="154"/>
      <c r="K103" s="156"/>
      <c r="L103" s="154"/>
      <c r="M103" s="213">
        <f>M104</f>
        <v>10000000</v>
      </c>
      <c r="N103" s="213">
        <f t="shared" si="39"/>
        <v>8929253.7599999998</v>
      </c>
      <c r="O103" s="213">
        <f t="shared" si="39"/>
        <v>8929253.7599999998</v>
      </c>
      <c r="P103" s="220">
        <f t="shared" si="29"/>
        <v>89.292537600000003</v>
      </c>
      <c r="Q103" s="20"/>
      <c r="R103" s="20"/>
      <c r="S103" s="20"/>
      <c r="T103" s="20"/>
      <c r="U103" s="20"/>
      <c r="V103" s="20"/>
      <c r="W103" s="20"/>
    </row>
    <row r="104" spans="1:23" s="11" customFormat="1" ht="51" customHeight="1" x14ac:dyDescent="0.2">
      <c r="A104" s="49" t="s">
        <v>80</v>
      </c>
      <c r="B104" s="95" t="s">
        <v>37</v>
      </c>
      <c r="C104" s="95">
        <v>0</v>
      </c>
      <c r="D104" s="148">
        <v>12</v>
      </c>
      <c r="E104" s="148">
        <v>815</v>
      </c>
      <c r="F104" s="95" t="s">
        <v>20</v>
      </c>
      <c r="G104" s="95" t="s">
        <v>15</v>
      </c>
      <c r="H104" s="95">
        <v>11270</v>
      </c>
      <c r="I104" s="95" t="s">
        <v>81</v>
      </c>
      <c r="J104" s="154"/>
      <c r="K104" s="156"/>
      <c r="L104" s="154"/>
      <c r="M104" s="213">
        <f>M106</f>
        <v>10000000</v>
      </c>
      <c r="N104" s="213">
        <f t="shared" ref="N104:O104" si="40">N106</f>
        <v>8929253.7599999998</v>
      </c>
      <c r="O104" s="213">
        <f t="shared" si="40"/>
        <v>8929253.7599999998</v>
      </c>
      <c r="P104" s="220">
        <f t="shared" si="29"/>
        <v>89.292537600000003</v>
      </c>
      <c r="Q104" s="20"/>
      <c r="R104" s="20"/>
      <c r="S104" s="20"/>
      <c r="T104" s="20"/>
      <c r="U104" s="20"/>
      <c r="V104" s="20"/>
      <c r="W104" s="20"/>
    </row>
    <row r="105" spans="1:23" s="11" customFormat="1" ht="18.75" customHeight="1" x14ac:dyDescent="0.2">
      <c r="A105" s="49" t="s">
        <v>164</v>
      </c>
      <c r="B105" s="95"/>
      <c r="C105" s="95"/>
      <c r="D105" s="148"/>
      <c r="E105" s="148"/>
      <c r="F105" s="95"/>
      <c r="G105" s="95"/>
      <c r="H105" s="95"/>
      <c r="I105" s="95"/>
      <c r="J105" s="154"/>
      <c r="K105" s="156"/>
      <c r="L105" s="154"/>
      <c r="M105" s="213">
        <f>M106</f>
        <v>10000000</v>
      </c>
      <c r="N105" s="213">
        <f t="shared" ref="N105:O105" si="41">N106</f>
        <v>8929253.7599999998</v>
      </c>
      <c r="O105" s="213">
        <f t="shared" si="41"/>
        <v>8929253.7599999998</v>
      </c>
      <c r="P105" s="220">
        <f t="shared" si="29"/>
        <v>89.292537600000003</v>
      </c>
      <c r="Q105" s="20"/>
      <c r="R105" s="20"/>
      <c r="S105" s="20"/>
      <c r="T105" s="20"/>
      <c r="U105" s="20"/>
      <c r="V105" s="20"/>
      <c r="W105" s="20"/>
    </row>
    <row r="106" spans="1:23" s="20" customFormat="1" ht="113.25" customHeight="1" x14ac:dyDescent="0.2">
      <c r="A106" s="98" t="s">
        <v>290</v>
      </c>
      <c r="B106" s="102">
        <v>15</v>
      </c>
      <c r="C106" s="102">
        <v>0</v>
      </c>
      <c r="D106" s="102">
        <v>12</v>
      </c>
      <c r="E106" s="157">
        <v>815</v>
      </c>
      <c r="F106" s="102" t="s">
        <v>20</v>
      </c>
      <c r="G106" s="102" t="s">
        <v>15</v>
      </c>
      <c r="H106" s="102">
        <v>11270</v>
      </c>
      <c r="I106" s="102" t="s">
        <v>81</v>
      </c>
      <c r="J106" s="161"/>
      <c r="K106" s="162"/>
      <c r="L106" s="161"/>
      <c r="M106" s="89">
        <v>10000000</v>
      </c>
      <c r="N106" s="94">
        <v>8929253.7599999998</v>
      </c>
      <c r="O106" s="94">
        <v>8929253.7599999998</v>
      </c>
      <c r="P106" s="221">
        <f t="shared" si="29"/>
        <v>89.292537600000003</v>
      </c>
    </row>
    <row r="107" spans="1:23" ht="28.5" customHeight="1" x14ac:dyDescent="0.2">
      <c r="A107" s="49" t="s">
        <v>40</v>
      </c>
      <c r="B107" s="95">
        <v>16</v>
      </c>
      <c r="C107" s="95">
        <v>0</v>
      </c>
      <c r="D107" s="95">
        <v>14</v>
      </c>
      <c r="E107" s="95"/>
      <c r="F107" s="95"/>
      <c r="G107" s="95"/>
      <c r="H107" s="95"/>
      <c r="I107" s="95"/>
      <c r="J107" s="155"/>
      <c r="K107" s="155"/>
      <c r="L107" s="154"/>
      <c r="M107" s="213">
        <f>M109</f>
        <v>43029762.170000002</v>
      </c>
      <c r="N107" s="213">
        <f t="shared" ref="N107:O107" si="42">N109</f>
        <v>3829165</v>
      </c>
      <c r="O107" s="213">
        <f t="shared" si="42"/>
        <v>42817031.170000002</v>
      </c>
      <c r="P107" s="220">
        <f t="shared" si="29"/>
        <v>99.505618926826628</v>
      </c>
      <c r="Q107" s="20"/>
      <c r="R107" s="20"/>
      <c r="S107" s="20"/>
      <c r="T107" s="20"/>
      <c r="U107" s="20"/>
      <c r="V107" s="20"/>
      <c r="W107" s="20"/>
    </row>
    <row r="108" spans="1:23" ht="27.75" customHeight="1" x14ac:dyDescent="0.2">
      <c r="A108" s="90" t="s">
        <v>177</v>
      </c>
      <c r="B108" s="148">
        <v>16</v>
      </c>
      <c r="C108" s="148">
        <v>0</v>
      </c>
      <c r="D108" s="148">
        <v>14</v>
      </c>
      <c r="E108" s="95"/>
      <c r="F108" s="95"/>
      <c r="G108" s="95"/>
      <c r="H108" s="95"/>
      <c r="I108" s="95"/>
      <c r="J108" s="155"/>
      <c r="K108" s="155"/>
      <c r="L108" s="154"/>
      <c r="M108" s="213">
        <f>M109</f>
        <v>43029762.170000002</v>
      </c>
      <c r="N108" s="213">
        <f t="shared" ref="N108:O108" si="43">N109</f>
        <v>3829165</v>
      </c>
      <c r="O108" s="213">
        <f t="shared" si="43"/>
        <v>42817031.170000002</v>
      </c>
      <c r="P108" s="220">
        <f t="shared" si="29"/>
        <v>99.505618926826628</v>
      </c>
      <c r="Q108" s="20"/>
      <c r="R108" s="20"/>
      <c r="S108" s="20"/>
      <c r="T108" s="20"/>
      <c r="U108" s="20"/>
      <c r="V108" s="20"/>
      <c r="W108" s="20"/>
    </row>
    <row r="109" spans="1:23" ht="24.75" customHeight="1" x14ac:dyDescent="0.2">
      <c r="A109" s="49" t="s">
        <v>31</v>
      </c>
      <c r="B109" s="95" t="s">
        <v>41</v>
      </c>
      <c r="C109" s="95">
        <v>0</v>
      </c>
      <c r="D109" s="148">
        <v>14</v>
      </c>
      <c r="E109" s="95" t="s">
        <v>32</v>
      </c>
      <c r="F109" s="99" t="s">
        <v>0</v>
      </c>
      <c r="G109" s="99" t="s">
        <v>0</v>
      </c>
      <c r="H109" s="99"/>
      <c r="I109" s="99"/>
      <c r="J109" s="154"/>
      <c r="K109" s="154"/>
      <c r="L109" s="154"/>
      <c r="M109" s="213">
        <f t="shared" ref="M109:O114" si="44">M110</f>
        <v>43029762.170000002</v>
      </c>
      <c r="N109" s="213">
        <f t="shared" si="44"/>
        <v>3829165</v>
      </c>
      <c r="O109" s="213">
        <f t="shared" si="44"/>
        <v>42817031.170000002</v>
      </c>
      <c r="P109" s="220">
        <f t="shared" si="29"/>
        <v>99.505618926826628</v>
      </c>
      <c r="Q109" s="20"/>
      <c r="R109" s="20"/>
      <c r="S109" s="20"/>
      <c r="T109" s="20"/>
      <c r="U109" s="20"/>
      <c r="V109" s="20"/>
      <c r="W109" s="20"/>
    </row>
    <row r="110" spans="1:23" s="1" customFormat="1" ht="17.25" customHeight="1" x14ac:dyDescent="0.2">
      <c r="A110" s="49" t="s">
        <v>21</v>
      </c>
      <c r="B110" s="95" t="s">
        <v>41</v>
      </c>
      <c r="C110" s="95">
        <v>0</v>
      </c>
      <c r="D110" s="148">
        <v>14</v>
      </c>
      <c r="E110" s="95" t="s">
        <v>32</v>
      </c>
      <c r="F110" s="95" t="s">
        <v>22</v>
      </c>
      <c r="G110" s="95" t="s">
        <v>0</v>
      </c>
      <c r="H110" s="95"/>
      <c r="I110" s="95"/>
      <c r="J110" s="155"/>
      <c r="K110" s="155"/>
      <c r="L110" s="154"/>
      <c r="M110" s="213">
        <f>M111+M120</f>
        <v>43029762.170000002</v>
      </c>
      <c r="N110" s="213">
        <f t="shared" ref="N110:O110" si="45">N111+N120</f>
        <v>3829165</v>
      </c>
      <c r="O110" s="213">
        <f t="shared" si="45"/>
        <v>42817031.170000002</v>
      </c>
      <c r="P110" s="220">
        <f t="shared" si="29"/>
        <v>99.505618926826628</v>
      </c>
      <c r="Q110" s="20"/>
      <c r="R110" s="20"/>
      <c r="S110" s="20"/>
      <c r="T110" s="20"/>
      <c r="U110" s="20"/>
      <c r="V110" s="20"/>
      <c r="W110" s="20"/>
    </row>
    <row r="111" spans="1:23" ht="15.75" customHeight="1" x14ac:dyDescent="0.2">
      <c r="A111" s="49" t="s">
        <v>42</v>
      </c>
      <c r="B111" s="95" t="s">
        <v>41</v>
      </c>
      <c r="C111" s="95">
        <v>0</v>
      </c>
      <c r="D111" s="148">
        <v>14</v>
      </c>
      <c r="E111" s="95" t="s">
        <v>32</v>
      </c>
      <c r="F111" s="95" t="s">
        <v>22</v>
      </c>
      <c r="G111" s="95" t="s">
        <v>15</v>
      </c>
      <c r="H111" s="95"/>
      <c r="I111" s="95"/>
      <c r="J111" s="155"/>
      <c r="K111" s="155"/>
      <c r="L111" s="154"/>
      <c r="M111" s="213">
        <f t="shared" si="44"/>
        <v>13029762.17</v>
      </c>
      <c r="N111" s="213">
        <f t="shared" si="44"/>
        <v>3829165</v>
      </c>
      <c r="O111" s="213">
        <f t="shared" si="44"/>
        <v>12817031.17</v>
      </c>
      <c r="P111" s="220">
        <f t="shared" si="29"/>
        <v>98.367345487780298</v>
      </c>
      <c r="Q111" s="20"/>
      <c r="R111" s="20"/>
      <c r="S111" s="20"/>
      <c r="T111" s="20"/>
      <c r="U111" s="20"/>
      <c r="V111" s="20"/>
      <c r="W111" s="20"/>
    </row>
    <row r="112" spans="1:23" ht="40.5" customHeight="1" x14ac:dyDescent="0.2">
      <c r="A112" s="49" t="s">
        <v>84</v>
      </c>
      <c r="B112" s="95" t="s">
        <v>41</v>
      </c>
      <c r="C112" s="95">
        <v>0</v>
      </c>
      <c r="D112" s="148">
        <v>14</v>
      </c>
      <c r="E112" s="95" t="s">
        <v>32</v>
      </c>
      <c r="F112" s="95" t="s">
        <v>22</v>
      </c>
      <c r="G112" s="95" t="s">
        <v>15</v>
      </c>
      <c r="H112" s="95">
        <v>11270</v>
      </c>
      <c r="I112" s="95" t="s">
        <v>0</v>
      </c>
      <c r="J112" s="155"/>
      <c r="K112" s="155"/>
      <c r="L112" s="154"/>
      <c r="M112" s="213">
        <f t="shared" si="44"/>
        <v>13029762.17</v>
      </c>
      <c r="N112" s="213">
        <f t="shared" si="44"/>
        <v>3829165</v>
      </c>
      <c r="O112" s="213">
        <f t="shared" si="44"/>
        <v>12817031.17</v>
      </c>
      <c r="P112" s="220">
        <f t="shared" si="29"/>
        <v>98.367345487780298</v>
      </c>
      <c r="Q112" s="20"/>
      <c r="R112" s="20"/>
      <c r="S112" s="20"/>
      <c r="T112" s="20"/>
      <c r="U112" s="20"/>
      <c r="V112" s="20"/>
      <c r="W112" s="20"/>
    </row>
    <row r="113" spans="1:23" ht="51.75" customHeight="1" x14ac:dyDescent="0.2">
      <c r="A113" s="49" t="s">
        <v>80</v>
      </c>
      <c r="B113" s="95" t="s">
        <v>41</v>
      </c>
      <c r="C113" s="95">
        <v>0</v>
      </c>
      <c r="D113" s="148">
        <v>14</v>
      </c>
      <c r="E113" s="95" t="s">
        <v>32</v>
      </c>
      <c r="F113" s="95" t="s">
        <v>22</v>
      </c>
      <c r="G113" s="95" t="s">
        <v>15</v>
      </c>
      <c r="H113" s="95">
        <v>11270</v>
      </c>
      <c r="I113" s="95" t="s">
        <v>81</v>
      </c>
      <c r="J113" s="155"/>
      <c r="K113" s="155"/>
      <c r="L113" s="154"/>
      <c r="M113" s="213">
        <f>M114+M117</f>
        <v>13029762.17</v>
      </c>
      <c r="N113" s="213">
        <f t="shared" ref="N113:O113" si="46">N114+N117</f>
        <v>3829165</v>
      </c>
      <c r="O113" s="213">
        <f t="shared" si="46"/>
        <v>12817031.17</v>
      </c>
      <c r="P113" s="220">
        <f t="shared" si="29"/>
        <v>98.367345487780298</v>
      </c>
      <c r="Q113" s="20"/>
      <c r="R113" s="20"/>
      <c r="S113" s="20"/>
      <c r="T113" s="20"/>
      <c r="U113" s="20"/>
      <c r="V113" s="20"/>
      <c r="W113" s="20"/>
    </row>
    <row r="114" spans="1:23" ht="19.5" customHeight="1" x14ac:dyDescent="0.2">
      <c r="A114" s="163" t="s">
        <v>73</v>
      </c>
      <c r="B114" s="99"/>
      <c r="C114" s="99"/>
      <c r="D114" s="99"/>
      <c r="E114" s="99"/>
      <c r="F114" s="99"/>
      <c r="G114" s="99"/>
      <c r="H114" s="99"/>
      <c r="I114" s="99"/>
      <c r="J114" s="164"/>
      <c r="K114" s="165"/>
      <c r="L114" s="166"/>
      <c r="M114" s="213">
        <f t="shared" si="44"/>
        <v>12905926.85</v>
      </c>
      <c r="N114" s="213">
        <f t="shared" si="44"/>
        <v>3829165</v>
      </c>
      <c r="O114" s="213">
        <f t="shared" si="44"/>
        <v>12693195.85</v>
      </c>
      <c r="P114" s="220">
        <f t="shared" si="29"/>
        <v>98.35167979431094</v>
      </c>
      <c r="Q114" s="20"/>
      <c r="R114" s="20"/>
      <c r="S114" s="20"/>
      <c r="T114" s="20"/>
      <c r="U114" s="20"/>
      <c r="V114" s="20"/>
      <c r="W114" s="20"/>
    </row>
    <row r="115" spans="1:23" s="11" customFormat="1" ht="24" customHeight="1" x14ac:dyDescent="0.2">
      <c r="A115" s="151" t="s">
        <v>339</v>
      </c>
      <c r="B115" s="99" t="s">
        <v>41</v>
      </c>
      <c r="C115" s="99">
        <v>0</v>
      </c>
      <c r="D115" s="99">
        <v>14</v>
      </c>
      <c r="E115" s="99" t="s">
        <v>32</v>
      </c>
      <c r="F115" s="99" t="s">
        <v>22</v>
      </c>
      <c r="G115" s="99" t="s">
        <v>15</v>
      </c>
      <c r="H115" s="99">
        <v>11270</v>
      </c>
      <c r="I115" s="99" t="s">
        <v>81</v>
      </c>
      <c r="J115" s="164" t="s">
        <v>63</v>
      </c>
      <c r="K115" s="165">
        <v>150</v>
      </c>
      <c r="L115" s="166"/>
      <c r="M115" s="94">
        <f>10218650-123835.32-1056320+3867432.17</f>
        <v>12905926.85</v>
      </c>
      <c r="N115" s="94">
        <f>O115-O116</f>
        <v>3829165</v>
      </c>
      <c r="O115" s="206">
        <v>12693195.85</v>
      </c>
      <c r="P115" s="221">
        <f t="shared" si="29"/>
        <v>98.35167979431094</v>
      </c>
      <c r="Q115" s="20"/>
      <c r="R115" s="20"/>
      <c r="S115" s="20"/>
      <c r="T115" s="20"/>
      <c r="U115" s="20"/>
      <c r="V115" s="20"/>
      <c r="W115" s="20"/>
    </row>
    <row r="116" spans="1:23" s="20" customFormat="1" ht="38.25" customHeight="1" x14ac:dyDescent="0.2">
      <c r="A116" s="167" t="s">
        <v>225</v>
      </c>
      <c r="B116" s="102"/>
      <c r="C116" s="102"/>
      <c r="D116" s="102"/>
      <c r="E116" s="102"/>
      <c r="F116" s="102"/>
      <c r="G116" s="102"/>
      <c r="H116" s="102"/>
      <c r="I116" s="102"/>
      <c r="J116" s="168"/>
      <c r="K116" s="169"/>
      <c r="L116" s="170"/>
      <c r="M116" s="94">
        <f>579317.28+5779442+2505271.57</f>
        <v>8864030.8499999996</v>
      </c>
      <c r="N116" s="94">
        <v>0</v>
      </c>
      <c r="O116" s="218">
        <v>8864030.8499999996</v>
      </c>
      <c r="P116" s="221">
        <f t="shared" si="29"/>
        <v>100</v>
      </c>
    </row>
    <row r="117" spans="1:23" s="20" customFormat="1" x14ac:dyDescent="0.2">
      <c r="A117" s="171" t="s">
        <v>198</v>
      </c>
      <c r="B117" s="102"/>
      <c r="C117" s="102"/>
      <c r="D117" s="102"/>
      <c r="E117" s="102"/>
      <c r="F117" s="102"/>
      <c r="G117" s="102"/>
      <c r="H117" s="102"/>
      <c r="I117" s="102"/>
      <c r="J117" s="168"/>
      <c r="K117" s="169"/>
      <c r="L117" s="170"/>
      <c r="M117" s="210">
        <f>M118</f>
        <v>123835.32</v>
      </c>
      <c r="N117" s="210">
        <f t="shared" ref="N117:O117" si="47">N118</f>
        <v>0</v>
      </c>
      <c r="O117" s="210">
        <f t="shared" si="47"/>
        <v>123835.32</v>
      </c>
      <c r="P117" s="220">
        <f t="shared" si="29"/>
        <v>100</v>
      </c>
    </row>
    <row r="118" spans="1:23" s="20" customFormat="1" ht="24" x14ac:dyDescent="0.2">
      <c r="A118" s="46" t="s">
        <v>421</v>
      </c>
      <c r="B118" s="102" t="s">
        <v>41</v>
      </c>
      <c r="C118" s="102">
        <v>0</v>
      </c>
      <c r="D118" s="102">
        <v>14</v>
      </c>
      <c r="E118" s="102" t="s">
        <v>32</v>
      </c>
      <c r="F118" s="102" t="s">
        <v>22</v>
      </c>
      <c r="G118" s="102" t="s">
        <v>15</v>
      </c>
      <c r="H118" s="102">
        <v>11270</v>
      </c>
      <c r="I118" s="102" t="s">
        <v>81</v>
      </c>
      <c r="J118" s="168"/>
      <c r="K118" s="169"/>
      <c r="L118" s="170"/>
      <c r="M118" s="94">
        <v>123835.32</v>
      </c>
      <c r="N118" s="94">
        <v>0</v>
      </c>
      <c r="O118" s="94">
        <v>123835.32</v>
      </c>
      <c r="P118" s="221">
        <f t="shared" si="29"/>
        <v>100</v>
      </c>
    </row>
    <row r="119" spans="1:23" s="20" customFormat="1" ht="36" x14ac:dyDescent="0.2">
      <c r="A119" s="167" t="s">
        <v>191</v>
      </c>
      <c r="B119" s="102"/>
      <c r="C119" s="102"/>
      <c r="D119" s="102"/>
      <c r="E119" s="102"/>
      <c r="F119" s="102"/>
      <c r="G119" s="102"/>
      <c r="H119" s="102"/>
      <c r="I119" s="102"/>
      <c r="J119" s="168"/>
      <c r="K119" s="169"/>
      <c r="L119" s="170"/>
      <c r="M119" s="94">
        <v>123835.32</v>
      </c>
      <c r="N119" s="94">
        <v>0</v>
      </c>
      <c r="O119" s="94">
        <v>123835.32</v>
      </c>
      <c r="P119" s="221">
        <f t="shared" si="29"/>
        <v>100</v>
      </c>
    </row>
    <row r="120" spans="1:23" s="20" customFormat="1" x14ac:dyDescent="0.2">
      <c r="A120" s="49" t="s">
        <v>43</v>
      </c>
      <c r="B120" s="95" t="s">
        <v>41</v>
      </c>
      <c r="C120" s="95">
        <v>0</v>
      </c>
      <c r="D120" s="148">
        <v>14</v>
      </c>
      <c r="E120" s="95" t="s">
        <v>32</v>
      </c>
      <c r="F120" s="95" t="s">
        <v>22</v>
      </c>
      <c r="G120" s="115" t="s">
        <v>16</v>
      </c>
      <c r="H120" s="102"/>
      <c r="I120" s="102"/>
      <c r="J120" s="168"/>
      <c r="K120" s="169"/>
      <c r="L120" s="170"/>
      <c r="M120" s="210">
        <f>M121</f>
        <v>30000000</v>
      </c>
      <c r="N120" s="210">
        <f t="shared" ref="N120:O123" si="48">N121</f>
        <v>0</v>
      </c>
      <c r="O120" s="210">
        <f t="shared" si="48"/>
        <v>30000000</v>
      </c>
      <c r="P120" s="220">
        <f t="shared" si="29"/>
        <v>100</v>
      </c>
    </row>
    <row r="121" spans="1:23" s="20" customFormat="1" ht="39" customHeight="1" x14ac:dyDescent="0.2">
      <c r="A121" s="49" t="s">
        <v>84</v>
      </c>
      <c r="B121" s="95">
        <v>16</v>
      </c>
      <c r="C121" s="95">
        <v>0</v>
      </c>
      <c r="D121" s="148">
        <v>14</v>
      </c>
      <c r="E121" s="95" t="s">
        <v>32</v>
      </c>
      <c r="F121" s="95" t="s">
        <v>22</v>
      </c>
      <c r="G121" s="115" t="s">
        <v>16</v>
      </c>
      <c r="H121" s="101">
        <v>11270</v>
      </c>
      <c r="I121" s="101"/>
      <c r="J121" s="168"/>
      <c r="K121" s="169"/>
      <c r="L121" s="170"/>
      <c r="M121" s="210">
        <f>M122</f>
        <v>30000000</v>
      </c>
      <c r="N121" s="210">
        <f t="shared" si="48"/>
        <v>0</v>
      </c>
      <c r="O121" s="210">
        <f t="shared" si="48"/>
        <v>30000000</v>
      </c>
      <c r="P121" s="220">
        <f t="shared" si="29"/>
        <v>100</v>
      </c>
    </row>
    <row r="122" spans="1:23" s="20" customFormat="1" ht="48.75" customHeight="1" x14ac:dyDescent="0.2">
      <c r="A122" s="49" t="s">
        <v>80</v>
      </c>
      <c r="B122" s="95">
        <v>16</v>
      </c>
      <c r="C122" s="95">
        <v>0</v>
      </c>
      <c r="D122" s="148">
        <v>14</v>
      </c>
      <c r="E122" s="95" t="s">
        <v>32</v>
      </c>
      <c r="F122" s="95" t="s">
        <v>22</v>
      </c>
      <c r="G122" s="115" t="s">
        <v>16</v>
      </c>
      <c r="H122" s="101">
        <v>11270</v>
      </c>
      <c r="I122" s="101">
        <v>522</v>
      </c>
      <c r="J122" s="168"/>
      <c r="K122" s="169"/>
      <c r="L122" s="170"/>
      <c r="M122" s="210">
        <f>M123</f>
        <v>30000000</v>
      </c>
      <c r="N122" s="210">
        <f t="shared" si="48"/>
        <v>0</v>
      </c>
      <c r="O122" s="210">
        <f t="shared" si="48"/>
        <v>30000000</v>
      </c>
      <c r="P122" s="220">
        <f t="shared" si="29"/>
        <v>100</v>
      </c>
    </row>
    <row r="123" spans="1:23" s="20" customFormat="1" x14ac:dyDescent="0.2">
      <c r="A123" s="171" t="s">
        <v>296</v>
      </c>
      <c r="B123" s="102"/>
      <c r="C123" s="102"/>
      <c r="D123" s="102"/>
      <c r="E123" s="102"/>
      <c r="F123" s="102"/>
      <c r="G123" s="102"/>
      <c r="H123" s="102"/>
      <c r="I123" s="102"/>
      <c r="J123" s="168"/>
      <c r="K123" s="169"/>
      <c r="L123" s="170"/>
      <c r="M123" s="210">
        <f>M124</f>
        <v>30000000</v>
      </c>
      <c r="N123" s="210">
        <f t="shared" si="48"/>
        <v>0</v>
      </c>
      <c r="O123" s="210">
        <f t="shared" si="48"/>
        <v>30000000</v>
      </c>
      <c r="P123" s="220">
        <f t="shared" si="29"/>
        <v>100</v>
      </c>
    </row>
    <row r="124" spans="1:23" s="20" customFormat="1" ht="38.25" customHeight="1" x14ac:dyDescent="0.2">
      <c r="A124" s="151" t="s">
        <v>297</v>
      </c>
      <c r="B124" s="99">
        <v>16</v>
      </c>
      <c r="C124" s="99">
        <v>0</v>
      </c>
      <c r="D124" s="149">
        <v>14</v>
      </c>
      <c r="E124" s="99" t="s">
        <v>32</v>
      </c>
      <c r="F124" s="99" t="s">
        <v>22</v>
      </c>
      <c r="G124" s="150" t="s">
        <v>16</v>
      </c>
      <c r="H124" s="102">
        <v>11270</v>
      </c>
      <c r="I124" s="102">
        <v>522</v>
      </c>
      <c r="J124" s="168"/>
      <c r="K124" s="169"/>
      <c r="L124" s="170"/>
      <c r="M124" s="94">
        <v>30000000</v>
      </c>
      <c r="N124" s="94">
        <v>0</v>
      </c>
      <c r="O124" s="94">
        <v>30000000</v>
      </c>
      <c r="P124" s="221">
        <f t="shared" si="29"/>
        <v>100</v>
      </c>
    </row>
    <row r="125" spans="1:23" s="20" customFormat="1" ht="40.5" customHeight="1" x14ac:dyDescent="0.2">
      <c r="A125" s="167" t="s">
        <v>191</v>
      </c>
      <c r="B125" s="102"/>
      <c r="C125" s="102"/>
      <c r="D125" s="102"/>
      <c r="E125" s="102"/>
      <c r="F125" s="102"/>
      <c r="G125" s="102"/>
      <c r="H125" s="102"/>
      <c r="I125" s="102"/>
      <c r="J125" s="168"/>
      <c r="K125" s="169"/>
      <c r="L125" s="170"/>
      <c r="M125" s="94">
        <v>30000000</v>
      </c>
      <c r="N125" s="94">
        <v>0</v>
      </c>
      <c r="O125" s="94">
        <v>30000000</v>
      </c>
      <c r="P125" s="221">
        <f t="shared" si="29"/>
        <v>100</v>
      </c>
    </row>
    <row r="126" spans="1:23" s="11" customFormat="1" ht="62.25" customHeight="1" x14ac:dyDescent="0.2">
      <c r="A126" s="49" t="s">
        <v>44</v>
      </c>
      <c r="B126" s="101" t="s">
        <v>45</v>
      </c>
      <c r="C126" s="101"/>
      <c r="D126" s="101"/>
      <c r="E126" s="101" t="s">
        <v>0</v>
      </c>
      <c r="F126" s="101"/>
      <c r="G126" s="101"/>
      <c r="H126" s="101"/>
      <c r="I126" s="101"/>
      <c r="J126" s="104"/>
      <c r="K126" s="104"/>
      <c r="L126" s="103"/>
      <c r="M126" s="213">
        <f>M127</f>
        <v>96287724.75999999</v>
      </c>
      <c r="N126" s="213">
        <f t="shared" ref="N126:O126" si="49">N127</f>
        <v>81631072.969999999</v>
      </c>
      <c r="O126" s="213">
        <f t="shared" si="49"/>
        <v>81969508.969999999</v>
      </c>
      <c r="P126" s="220">
        <f t="shared" si="29"/>
        <v>85.129759971285466</v>
      </c>
      <c r="Q126" s="20"/>
      <c r="R126" s="20"/>
      <c r="S126" s="20"/>
      <c r="T126" s="20"/>
      <c r="U126" s="20"/>
      <c r="V126" s="20"/>
      <c r="W126" s="20"/>
    </row>
    <row r="127" spans="1:23" s="11" customFormat="1" ht="37.5" customHeight="1" x14ac:dyDescent="0.2">
      <c r="A127" s="49" t="s">
        <v>46</v>
      </c>
      <c r="B127" s="101" t="s">
        <v>45</v>
      </c>
      <c r="C127" s="101" t="s">
        <v>13</v>
      </c>
      <c r="D127" s="101"/>
      <c r="E127" s="101" t="s">
        <v>0</v>
      </c>
      <c r="F127" s="101"/>
      <c r="G127" s="101"/>
      <c r="H127" s="101"/>
      <c r="I127" s="101"/>
      <c r="J127" s="104"/>
      <c r="K127" s="104"/>
      <c r="L127" s="103"/>
      <c r="M127" s="213">
        <f>M129+M142</f>
        <v>96287724.75999999</v>
      </c>
      <c r="N127" s="213">
        <f t="shared" ref="N127:O127" si="50">N129+N142</f>
        <v>81631072.969999999</v>
      </c>
      <c r="O127" s="213">
        <f t="shared" si="50"/>
        <v>81969508.969999999</v>
      </c>
      <c r="P127" s="220">
        <f t="shared" si="29"/>
        <v>85.129759971285466</v>
      </c>
      <c r="Q127" s="20"/>
      <c r="R127" s="20"/>
      <c r="S127" s="20"/>
      <c r="T127" s="20"/>
      <c r="U127" s="20"/>
      <c r="V127" s="20"/>
      <c r="W127" s="20"/>
    </row>
    <row r="128" spans="1:23" s="11" customFormat="1" ht="172.5" customHeight="1" x14ac:dyDescent="0.2">
      <c r="A128" s="90" t="s">
        <v>176</v>
      </c>
      <c r="B128" s="148" t="s">
        <v>45</v>
      </c>
      <c r="C128" s="148" t="s">
        <v>13</v>
      </c>
      <c r="D128" s="148">
        <v>81</v>
      </c>
      <c r="E128" s="101"/>
      <c r="F128" s="101"/>
      <c r="G128" s="101"/>
      <c r="H128" s="101"/>
      <c r="I128" s="101"/>
      <c r="J128" s="104"/>
      <c r="K128" s="104"/>
      <c r="L128" s="103"/>
      <c r="M128" s="213">
        <f>M129+M142</f>
        <v>96287724.75999999</v>
      </c>
      <c r="N128" s="213">
        <f t="shared" ref="N128:O128" si="51">N129+N142</f>
        <v>81631072.969999999</v>
      </c>
      <c r="O128" s="213">
        <f t="shared" si="51"/>
        <v>81969508.969999999</v>
      </c>
      <c r="P128" s="220">
        <f t="shared" si="29"/>
        <v>85.129759971285466</v>
      </c>
      <c r="Q128" s="20"/>
      <c r="R128" s="20"/>
      <c r="S128" s="20"/>
      <c r="T128" s="20"/>
      <c r="U128" s="20"/>
      <c r="V128" s="20"/>
      <c r="W128" s="20"/>
    </row>
    <row r="129" spans="1:23" s="11" customFormat="1" ht="27.75" customHeight="1" x14ac:dyDescent="0.2">
      <c r="A129" s="49" t="s">
        <v>126</v>
      </c>
      <c r="B129" s="101" t="s">
        <v>45</v>
      </c>
      <c r="C129" s="101" t="s">
        <v>13</v>
      </c>
      <c r="D129" s="148">
        <v>81</v>
      </c>
      <c r="E129" s="101">
        <v>817</v>
      </c>
      <c r="F129" s="101"/>
      <c r="G129" s="101"/>
      <c r="H129" s="101"/>
      <c r="I129" s="101"/>
      <c r="J129" s="104"/>
      <c r="K129" s="104"/>
      <c r="L129" s="103"/>
      <c r="M129" s="213">
        <f>M130</f>
        <v>18951146.219999999</v>
      </c>
      <c r="N129" s="213">
        <f t="shared" ref="N129:O132" si="52">N130</f>
        <v>17451569.280000001</v>
      </c>
      <c r="O129" s="213">
        <f t="shared" si="52"/>
        <v>17451569.280000001</v>
      </c>
      <c r="P129" s="220">
        <f t="shared" si="29"/>
        <v>92.087143845592692</v>
      </c>
      <c r="Q129" s="20"/>
      <c r="R129" s="20"/>
      <c r="S129" s="20"/>
      <c r="T129" s="20"/>
      <c r="U129" s="20"/>
      <c r="V129" s="20"/>
      <c r="W129" s="20"/>
    </row>
    <row r="130" spans="1:23" s="11" customFormat="1" ht="17.25" customHeight="1" x14ac:dyDescent="0.2">
      <c r="A130" s="49" t="s">
        <v>19</v>
      </c>
      <c r="B130" s="101" t="s">
        <v>45</v>
      </c>
      <c r="C130" s="101" t="s">
        <v>13</v>
      </c>
      <c r="D130" s="148">
        <v>81</v>
      </c>
      <c r="E130" s="101" t="s">
        <v>127</v>
      </c>
      <c r="F130" s="101" t="s">
        <v>17</v>
      </c>
      <c r="G130" s="101" t="s">
        <v>0</v>
      </c>
      <c r="H130" s="101" t="s">
        <v>0</v>
      </c>
      <c r="I130" s="101" t="s">
        <v>0</v>
      </c>
      <c r="J130" s="104"/>
      <c r="K130" s="104"/>
      <c r="L130" s="103"/>
      <c r="M130" s="213">
        <f>M131</f>
        <v>18951146.219999999</v>
      </c>
      <c r="N130" s="213">
        <f t="shared" si="52"/>
        <v>17451569.280000001</v>
      </c>
      <c r="O130" s="213">
        <f t="shared" si="52"/>
        <v>17451569.280000001</v>
      </c>
      <c r="P130" s="220">
        <f t="shared" si="29"/>
        <v>92.087143845592692</v>
      </c>
      <c r="Q130" s="20"/>
      <c r="R130" s="20"/>
      <c r="S130" s="20"/>
      <c r="T130" s="20"/>
      <c r="U130" s="20"/>
      <c r="V130" s="20"/>
      <c r="W130" s="20"/>
    </row>
    <row r="131" spans="1:23" s="11" customFormat="1" ht="17.25" customHeight="1" x14ac:dyDescent="0.2">
      <c r="A131" s="49" t="s">
        <v>128</v>
      </c>
      <c r="B131" s="101" t="s">
        <v>45</v>
      </c>
      <c r="C131" s="101" t="s">
        <v>13</v>
      </c>
      <c r="D131" s="148">
        <v>81</v>
      </c>
      <c r="E131" s="101" t="s">
        <v>127</v>
      </c>
      <c r="F131" s="101" t="s">
        <v>17</v>
      </c>
      <c r="G131" s="101" t="s">
        <v>18</v>
      </c>
      <c r="H131" s="101" t="s">
        <v>0</v>
      </c>
      <c r="I131" s="101" t="s">
        <v>0</v>
      </c>
      <c r="J131" s="104"/>
      <c r="K131" s="104"/>
      <c r="L131" s="103"/>
      <c r="M131" s="213">
        <f>M132</f>
        <v>18951146.219999999</v>
      </c>
      <c r="N131" s="213">
        <f t="shared" si="52"/>
        <v>17451569.280000001</v>
      </c>
      <c r="O131" s="213">
        <f t="shared" si="52"/>
        <v>17451569.280000001</v>
      </c>
      <c r="P131" s="220">
        <f t="shared" si="29"/>
        <v>92.087143845592692</v>
      </c>
      <c r="Q131" s="20"/>
      <c r="R131" s="20"/>
      <c r="S131" s="20"/>
      <c r="T131" s="20"/>
      <c r="U131" s="20"/>
      <c r="V131" s="20"/>
      <c r="W131" s="20"/>
    </row>
    <row r="132" spans="1:23" s="11" customFormat="1" ht="27.75" customHeight="1" x14ac:dyDescent="0.2">
      <c r="A132" s="49" t="s">
        <v>129</v>
      </c>
      <c r="B132" s="101" t="s">
        <v>45</v>
      </c>
      <c r="C132" s="101" t="s">
        <v>13</v>
      </c>
      <c r="D132" s="148">
        <v>81</v>
      </c>
      <c r="E132" s="101" t="s">
        <v>127</v>
      </c>
      <c r="F132" s="101" t="s">
        <v>17</v>
      </c>
      <c r="G132" s="101" t="s">
        <v>18</v>
      </c>
      <c r="H132" s="101" t="s">
        <v>189</v>
      </c>
      <c r="I132" s="101" t="s">
        <v>0</v>
      </c>
      <c r="J132" s="104"/>
      <c r="K132" s="104"/>
      <c r="L132" s="103"/>
      <c r="M132" s="213">
        <f>M133</f>
        <v>18951146.219999999</v>
      </c>
      <c r="N132" s="213">
        <f t="shared" si="52"/>
        <v>17451569.280000001</v>
      </c>
      <c r="O132" s="213">
        <f t="shared" si="52"/>
        <v>17451569.280000001</v>
      </c>
      <c r="P132" s="220">
        <f t="shared" si="29"/>
        <v>92.087143845592692</v>
      </c>
      <c r="Q132" s="20"/>
      <c r="R132" s="20"/>
      <c r="S132" s="20"/>
      <c r="T132" s="20"/>
      <c r="U132" s="20"/>
      <c r="V132" s="20"/>
      <c r="W132" s="20"/>
    </row>
    <row r="133" spans="1:23" s="11" customFormat="1" ht="49.5" customHeight="1" x14ac:dyDescent="0.2">
      <c r="A133" s="49" t="s">
        <v>80</v>
      </c>
      <c r="B133" s="101" t="s">
        <v>45</v>
      </c>
      <c r="C133" s="101" t="s">
        <v>13</v>
      </c>
      <c r="D133" s="148">
        <v>81</v>
      </c>
      <c r="E133" s="101" t="s">
        <v>127</v>
      </c>
      <c r="F133" s="101" t="s">
        <v>17</v>
      </c>
      <c r="G133" s="101" t="s">
        <v>18</v>
      </c>
      <c r="H133" s="101" t="s">
        <v>189</v>
      </c>
      <c r="I133" s="101" t="s">
        <v>81</v>
      </c>
      <c r="J133" s="104"/>
      <c r="K133" s="104"/>
      <c r="L133" s="103"/>
      <c r="M133" s="213">
        <f>M134+M138</f>
        <v>18951146.219999999</v>
      </c>
      <c r="N133" s="213">
        <f t="shared" ref="N133:O133" si="53">N134+N138</f>
        <v>17451569.280000001</v>
      </c>
      <c r="O133" s="213">
        <f t="shared" si="53"/>
        <v>17451569.280000001</v>
      </c>
      <c r="P133" s="220">
        <f t="shared" si="29"/>
        <v>92.087143845592692</v>
      </c>
      <c r="Q133" s="20"/>
      <c r="R133" s="20"/>
      <c r="S133" s="20"/>
      <c r="T133" s="20"/>
      <c r="U133" s="20"/>
      <c r="V133" s="20"/>
      <c r="W133" s="20"/>
    </row>
    <row r="134" spans="1:23" s="11" customFormat="1" ht="25.5" customHeight="1" x14ac:dyDescent="0.2">
      <c r="A134" s="172" t="s">
        <v>141</v>
      </c>
      <c r="B134" s="101"/>
      <c r="C134" s="101"/>
      <c r="D134" s="101"/>
      <c r="E134" s="101"/>
      <c r="F134" s="101"/>
      <c r="G134" s="101"/>
      <c r="H134" s="101"/>
      <c r="I134" s="101"/>
      <c r="J134" s="104"/>
      <c r="K134" s="104"/>
      <c r="L134" s="103"/>
      <c r="M134" s="213">
        <f>M135+M136+M137</f>
        <v>1055591.42</v>
      </c>
      <c r="N134" s="213">
        <f t="shared" ref="N134:O134" si="54">N135+N136+N137</f>
        <v>1055591.42</v>
      </c>
      <c r="O134" s="213">
        <f t="shared" si="54"/>
        <v>1055591.42</v>
      </c>
      <c r="P134" s="220">
        <f t="shared" si="29"/>
        <v>100</v>
      </c>
      <c r="Q134" s="20"/>
      <c r="R134" s="20"/>
      <c r="S134" s="20"/>
      <c r="T134" s="20"/>
      <c r="U134" s="20"/>
      <c r="V134" s="20"/>
      <c r="W134" s="20"/>
    </row>
    <row r="135" spans="1:23" s="11" customFormat="1" ht="38.25" customHeight="1" x14ac:dyDescent="0.2">
      <c r="A135" s="173" t="s">
        <v>332</v>
      </c>
      <c r="B135" s="102" t="s">
        <v>45</v>
      </c>
      <c r="C135" s="102" t="s">
        <v>13</v>
      </c>
      <c r="D135" s="102">
        <v>81</v>
      </c>
      <c r="E135" s="102" t="s">
        <v>127</v>
      </c>
      <c r="F135" s="102" t="s">
        <v>17</v>
      </c>
      <c r="G135" s="102" t="s">
        <v>18</v>
      </c>
      <c r="H135" s="102" t="s">
        <v>189</v>
      </c>
      <c r="I135" s="102">
        <v>522</v>
      </c>
      <c r="J135" s="103" t="s">
        <v>68</v>
      </c>
      <c r="K135" s="103">
        <v>1.1559999999999999</v>
      </c>
      <c r="L135" s="103">
        <v>2016</v>
      </c>
      <c r="M135" s="89">
        <v>579662.34</v>
      </c>
      <c r="N135" s="94">
        <v>579662.34</v>
      </c>
      <c r="O135" s="94">
        <v>579662.34</v>
      </c>
      <c r="P135" s="221">
        <f t="shared" si="29"/>
        <v>100</v>
      </c>
      <c r="Q135" s="20"/>
      <c r="R135" s="20"/>
      <c r="S135" s="20"/>
      <c r="T135" s="20"/>
      <c r="U135" s="20"/>
      <c r="V135" s="20"/>
      <c r="W135" s="20"/>
    </row>
    <row r="136" spans="1:23" s="11" customFormat="1" ht="39" customHeight="1" x14ac:dyDescent="0.2">
      <c r="A136" s="173" t="s">
        <v>333</v>
      </c>
      <c r="B136" s="102" t="s">
        <v>45</v>
      </c>
      <c r="C136" s="102" t="s">
        <v>13</v>
      </c>
      <c r="D136" s="102">
        <v>81</v>
      </c>
      <c r="E136" s="102" t="s">
        <v>127</v>
      </c>
      <c r="F136" s="102" t="s">
        <v>17</v>
      </c>
      <c r="G136" s="102" t="s">
        <v>18</v>
      </c>
      <c r="H136" s="102" t="s">
        <v>189</v>
      </c>
      <c r="I136" s="102">
        <v>522</v>
      </c>
      <c r="J136" s="103" t="s">
        <v>68</v>
      </c>
      <c r="K136" s="103">
        <v>1.407</v>
      </c>
      <c r="L136" s="103">
        <v>2016</v>
      </c>
      <c r="M136" s="89">
        <v>388355.85</v>
      </c>
      <c r="N136" s="94">
        <v>388355.85</v>
      </c>
      <c r="O136" s="94">
        <v>388355.85</v>
      </c>
      <c r="P136" s="221">
        <f t="shared" si="29"/>
        <v>100</v>
      </c>
      <c r="Q136" s="20"/>
      <c r="R136" s="20"/>
      <c r="S136" s="20"/>
      <c r="T136" s="20"/>
      <c r="U136" s="20"/>
      <c r="V136" s="20"/>
      <c r="W136" s="20"/>
    </row>
    <row r="137" spans="1:23" s="11" customFormat="1" ht="41.25" customHeight="1" x14ac:dyDescent="0.2">
      <c r="A137" s="173" t="s">
        <v>334</v>
      </c>
      <c r="B137" s="102" t="s">
        <v>45</v>
      </c>
      <c r="C137" s="102" t="s">
        <v>13</v>
      </c>
      <c r="D137" s="102">
        <v>81</v>
      </c>
      <c r="E137" s="102" t="s">
        <v>127</v>
      </c>
      <c r="F137" s="102" t="s">
        <v>17</v>
      </c>
      <c r="G137" s="102" t="s">
        <v>18</v>
      </c>
      <c r="H137" s="102" t="s">
        <v>189</v>
      </c>
      <c r="I137" s="102">
        <v>522</v>
      </c>
      <c r="J137" s="103" t="s">
        <v>68</v>
      </c>
      <c r="K137" s="103">
        <v>1.252</v>
      </c>
      <c r="L137" s="103">
        <v>2016</v>
      </c>
      <c r="M137" s="89">
        <v>87573.23</v>
      </c>
      <c r="N137" s="94">
        <v>87573.23</v>
      </c>
      <c r="O137" s="94">
        <v>87573.23</v>
      </c>
      <c r="P137" s="221">
        <f t="shared" ref="P137:P200" si="55">O137/M137*100</f>
        <v>100</v>
      </c>
      <c r="Q137" s="20"/>
      <c r="R137" s="20"/>
      <c r="S137" s="20"/>
      <c r="T137" s="20"/>
      <c r="U137" s="20"/>
      <c r="V137" s="20"/>
      <c r="W137" s="20"/>
    </row>
    <row r="138" spans="1:23" s="11" customFormat="1" ht="14.25" customHeight="1" x14ac:dyDescent="0.2">
      <c r="A138" s="172" t="s">
        <v>66</v>
      </c>
      <c r="B138" s="102"/>
      <c r="C138" s="102"/>
      <c r="D138" s="102"/>
      <c r="E138" s="102"/>
      <c r="F138" s="102"/>
      <c r="G138" s="102"/>
      <c r="H138" s="102"/>
      <c r="I138" s="101"/>
      <c r="J138" s="104"/>
      <c r="K138" s="104"/>
      <c r="L138" s="103"/>
      <c r="M138" s="213">
        <f>M139+M140+M141</f>
        <v>17895554.800000001</v>
      </c>
      <c r="N138" s="213">
        <f t="shared" ref="N138:O138" si="56">N139+N140+N141</f>
        <v>16395977.859999999</v>
      </c>
      <c r="O138" s="213">
        <f t="shared" si="56"/>
        <v>16395977.859999999</v>
      </c>
      <c r="P138" s="220">
        <f t="shared" si="55"/>
        <v>91.620394244496964</v>
      </c>
      <c r="Q138" s="20"/>
      <c r="R138" s="20"/>
      <c r="S138" s="20"/>
      <c r="T138" s="20"/>
      <c r="U138" s="20"/>
      <c r="V138" s="20"/>
      <c r="W138" s="20"/>
    </row>
    <row r="139" spans="1:23" s="20" customFormat="1" ht="37.5" customHeight="1" x14ac:dyDescent="0.2">
      <c r="A139" s="174" t="s">
        <v>396</v>
      </c>
      <c r="B139" s="102" t="s">
        <v>45</v>
      </c>
      <c r="C139" s="102" t="s">
        <v>13</v>
      </c>
      <c r="D139" s="102">
        <v>81</v>
      </c>
      <c r="E139" s="102" t="s">
        <v>127</v>
      </c>
      <c r="F139" s="102" t="s">
        <v>17</v>
      </c>
      <c r="G139" s="102" t="s">
        <v>18</v>
      </c>
      <c r="H139" s="102" t="s">
        <v>189</v>
      </c>
      <c r="I139" s="102">
        <v>522</v>
      </c>
      <c r="J139" s="103" t="s">
        <v>68</v>
      </c>
      <c r="K139" s="103">
        <v>4.1589999999999998</v>
      </c>
      <c r="L139" s="103">
        <v>2016</v>
      </c>
      <c r="M139" s="89">
        <v>12061219.83</v>
      </c>
      <c r="N139" s="94">
        <v>12061219.83</v>
      </c>
      <c r="O139" s="94">
        <v>12061219.83</v>
      </c>
      <c r="P139" s="221">
        <f t="shared" si="55"/>
        <v>100</v>
      </c>
    </row>
    <row r="140" spans="1:23" s="11" customFormat="1" ht="51" customHeight="1" x14ac:dyDescent="0.2">
      <c r="A140" s="174" t="s">
        <v>397</v>
      </c>
      <c r="B140" s="102" t="s">
        <v>45</v>
      </c>
      <c r="C140" s="102" t="s">
        <v>13</v>
      </c>
      <c r="D140" s="102">
        <v>81</v>
      </c>
      <c r="E140" s="102" t="s">
        <v>127</v>
      </c>
      <c r="F140" s="102" t="s">
        <v>17</v>
      </c>
      <c r="G140" s="102" t="s">
        <v>18</v>
      </c>
      <c r="H140" s="102" t="s">
        <v>189</v>
      </c>
      <c r="I140" s="102">
        <v>522</v>
      </c>
      <c r="J140" s="103" t="s">
        <v>245</v>
      </c>
      <c r="K140" s="103">
        <v>1</v>
      </c>
      <c r="L140" s="103">
        <v>2016</v>
      </c>
      <c r="M140" s="89">
        <v>4334758.03</v>
      </c>
      <c r="N140" s="94">
        <v>4334758.03</v>
      </c>
      <c r="O140" s="94">
        <v>4334758.03</v>
      </c>
      <c r="P140" s="221">
        <f t="shared" si="55"/>
        <v>100</v>
      </c>
      <c r="Q140" s="20"/>
      <c r="R140" s="20"/>
      <c r="S140" s="20"/>
      <c r="T140" s="20"/>
      <c r="U140" s="20"/>
      <c r="V140" s="20"/>
      <c r="W140" s="20"/>
    </row>
    <row r="141" spans="1:23" s="11" customFormat="1" ht="52.5" customHeight="1" x14ac:dyDescent="0.2">
      <c r="A141" s="174" t="s">
        <v>398</v>
      </c>
      <c r="B141" s="102" t="s">
        <v>45</v>
      </c>
      <c r="C141" s="102" t="s">
        <v>13</v>
      </c>
      <c r="D141" s="102">
        <v>81</v>
      </c>
      <c r="E141" s="102" t="s">
        <v>127</v>
      </c>
      <c r="F141" s="102" t="s">
        <v>17</v>
      </c>
      <c r="G141" s="102" t="s">
        <v>18</v>
      </c>
      <c r="H141" s="102" t="s">
        <v>189</v>
      </c>
      <c r="I141" s="102">
        <v>522</v>
      </c>
      <c r="J141" s="103" t="s">
        <v>245</v>
      </c>
      <c r="K141" s="103">
        <v>1</v>
      </c>
      <c r="L141" s="103">
        <v>2016</v>
      </c>
      <c r="M141" s="89">
        <v>1499576.94</v>
      </c>
      <c r="N141" s="94"/>
      <c r="O141" s="94"/>
      <c r="P141" s="221">
        <f t="shared" si="55"/>
        <v>0</v>
      </c>
      <c r="Q141" s="20"/>
      <c r="R141" s="20"/>
      <c r="S141" s="20"/>
      <c r="T141" s="20"/>
      <c r="U141" s="20"/>
      <c r="V141" s="20"/>
      <c r="W141" s="20"/>
    </row>
    <row r="142" spans="1:23" ht="24" customHeight="1" x14ac:dyDescent="0.2">
      <c r="A142" s="85" t="s">
        <v>31</v>
      </c>
      <c r="B142" s="160">
        <v>17</v>
      </c>
      <c r="C142" s="160">
        <v>7</v>
      </c>
      <c r="D142" s="160">
        <v>81</v>
      </c>
      <c r="E142" s="160">
        <v>819</v>
      </c>
      <c r="F142" s="175"/>
      <c r="G142" s="176"/>
      <c r="H142" s="102"/>
      <c r="I142" s="102"/>
      <c r="J142" s="159"/>
      <c r="K142" s="159"/>
      <c r="L142" s="103"/>
      <c r="M142" s="213">
        <f>M143+M166+M205</f>
        <v>77336578.539999992</v>
      </c>
      <c r="N142" s="213">
        <f t="shared" ref="N142:O142" si="57">N143+N166+N205</f>
        <v>64179503.689999998</v>
      </c>
      <c r="O142" s="213">
        <f t="shared" si="57"/>
        <v>64517939.689999998</v>
      </c>
      <c r="P142" s="220">
        <f t="shared" si="55"/>
        <v>83.424869457639701</v>
      </c>
      <c r="Q142" s="20"/>
      <c r="R142" s="20"/>
      <c r="S142" s="20"/>
      <c r="T142" s="20"/>
      <c r="U142" s="20"/>
      <c r="V142" s="20"/>
      <c r="W142" s="20"/>
    </row>
    <row r="143" spans="1:23" ht="17.25" customHeight="1" x14ac:dyDescent="0.2">
      <c r="A143" s="85" t="s">
        <v>19</v>
      </c>
      <c r="B143" s="160">
        <v>17</v>
      </c>
      <c r="C143" s="160">
        <v>7</v>
      </c>
      <c r="D143" s="160">
        <v>81</v>
      </c>
      <c r="E143" s="160">
        <v>819</v>
      </c>
      <c r="F143" s="175" t="s">
        <v>17</v>
      </c>
      <c r="G143" s="175"/>
      <c r="H143" s="175"/>
      <c r="I143" s="175"/>
      <c r="J143" s="159"/>
      <c r="K143" s="159"/>
      <c r="L143" s="159"/>
      <c r="M143" s="213">
        <f>M144</f>
        <v>49802495</v>
      </c>
      <c r="N143" s="213">
        <f t="shared" ref="N143:O145" si="58">N144</f>
        <v>36983857</v>
      </c>
      <c r="O143" s="213">
        <f t="shared" si="58"/>
        <v>36983857</v>
      </c>
      <c r="P143" s="220">
        <f t="shared" si="55"/>
        <v>74.26105258381132</v>
      </c>
      <c r="Q143" s="20"/>
      <c r="R143" s="20"/>
      <c r="S143" s="20"/>
      <c r="T143" s="20"/>
      <c r="U143" s="20"/>
      <c r="V143" s="20"/>
      <c r="W143" s="20"/>
    </row>
    <row r="144" spans="1:23" ht="27" customHeight="1" x14ac:dyDescent="0.2">
      <c r="A144" s="85" t="s">
        <v>51</v>
      </c>
      <c r="B144" s="160">
        <v>17</v>
      </c>
      <c r="C144" s="160">
        <v>7</v>
      </c>
      <c r="D144" s="160">
        <v>81</v>
      </c>
      <c r="E144" s="160">
        <v>819</v>
      </c>
      <c r="F144" s="175" t="s">
        <v>17</v>
      </c>
      <c r="G144" s="175" t="s">
        <v>23</v>
      </c>
      <c r="H144" s="175"/>
      <c r="I144" s="175"/>
      <c r="J144" s="159"/>
      <c r="K144" s="159"/>
      <c r="L144" s="159"/>
      <c r="M144" s="213">
        <f>M145</f>
        <v>49802495</v>
      </c>
      <c r="N144" s="213">
        <f t="shared" si="58"/>
        <v>36983857</v>
      </c>
      <c r="O144" s="213">
        <f t="shared" si="58"/>
        <v>36983857</v>
      </c>
      <c r="P144" s="220">
        <f t="shared" si="55"/>
        <v>74.26105258381132</v>
      </c>
      <c r="Q144" s="20"/>
      <c r="R144" s="20"/>
      <c r="S144" s="20"/>
      <c r="T144" s="20"/>
      <c r="U144" s="20"/>
      <c r="V144" s="20"/>
      <c r="W144" s="20"/>
    </row>
    <row r="145" spans="1:23" ht="27" customHeight="1" x14ac:dyDescent="0.2">
      <c r="A145" s="85" t="s">
        <v>129</v>
      </c>
      <c r="B145" s="177">
        <v>17</v>
      </c>
      <c r="C145" s="177">
        <v>7</v>
      </c>
      <c r="D145" s="177">
        <v>81</v>
      </c>
      <c r="E145" s="177">
        <v>819</v>
      </c>
      <c r="F145" s="178" t="s">
        <v>17</v>
      </c>
      <c r="G145" s="178" t="s">
        <v>23</v>
      </c>
      <c r="H145" s="175" t="s">
        <v>189</v>
      </c>
      <c r="I145" s="175"/>
      <c r="J145" s="159"/>
      <c r="K145" s="159"/>
      <c r="L145" s="159"/>
      <c r="M145" s="213">
        <f>M146</f>
        <v>49802495</v>
      </c>
      <c r="N145" s="213">
        <f t="shared" si="58"/>
        <v>36983857</v>
      </c>
      <c r="O145" s="213">
        <f t="shared" si="58"/>
        <v>36983857</v>
      </c>
      <c r="P145" s="220">
        <f t="shared" si="55"/>
        <v>74.26105258381132</v>
      </c>
      <c r="Q145" s="20"/>
      <c r="R145" s="20"/>
      <c r="S145" s="20"/>
      <c r="T145" s="20"/>
      <c r="U145" s="20"/>
      <c r="V145" s="20"/>
      <c r="W145" s="20"/>
    </row>
    <row r="146" spans="1:23" ht="49.5" customHeight="1" x14ac:dyDescent="0.2">
      <c r="A146" s="179" t="s">
        <v>293</v>
      </c>
      <c r="B146" s="160">
        <v>17</v>
      </c>
      <c r="C146" s="160">
        <v>7</v>
      </c>
      <c r="D146" s="160">
        <v>81</v>
      </c>
      <c r="E146" s="160">
        <v>819</v>
      </c>
      <c r="F146" s="175" t="s">
        <v>17</v>
      </c>
      <c r="G146" s="175" t="s">
        <v>23</v>
      </c>
      <c r="H146" s="175" t="s">
        <v>189</v>
      </c>
      <c r="I146" s="175" t="s">
        <v>81</v>
      </c>
      <c r="J146" s="180"/>
      <c r="K146" s="38"/>
      <c r="L146" s="159"/>
      <c r="M146" s="213">
        <f>M148+M150+M154+M155+M156+M158+M159+M161+M162+M163+M165+M152</f>
        <v>49802495</v>
      </c>
      <c r="N146" s="213">
        <f t="shared" ref="N146:O146" si="59">N148+N150+N154+N155+N156+N158+N159+N161+N162+N163+N165+N152</f>
        <v>36983857</v>
      </c>
      <c r="O146" s="213">
        <f t="shared" si="59"/>
        <v>36983857</v>
      </c>
      <c r="P146" s="220">
        <f t="shared" si="55"/>
        <v>74.26105258381132</v>
      </c>
      <c r="Q146" s="20"/>
      <c r="R146" s="20"/>
      <c r="S146" s="20"/>
      <c r="T146" s="20"/>
      <c r="U146" s="20"/>
      <c r="V146" s="20"/>
      <c r="W146" s="20"/>
    </row>
    <row r="147" spans="1:23" ht="15" customHeight="1" x14ac:dyDescent="0.2">
      <c r="A147" s="90" t="s">
        <v>95</v>
      </c>
      <c r="B147" s="157"/>
      <c r="C147" s="157"/>
      <c r="D147" s="157"/>
      <c r="E147" s="157"/>
      <c r="F147" s="176"/>
      <c r="G147" s="176"/>
      <c r="H147" s="176"/>
      <c r="I147" s="176"/>
      <c r="J147" s="159"/>
      <c r="K147" s="159"/>
      <c r="L147" s="159"/>
      <c r="M147" s="216">
        <f>M148</f>
        <v>1062942</v>
      </c>
      <c r="N147" s="216">
        <f t="shared" ref="N147:O147" si="60">N148</f>
        <v>1062942</v>
      </c>
      <c r="O147" s="216">
        <f t="shared" si="60"/>
        <v>1062942</v>
      </c>
      <c r="P147" s="220">
        <f t="shared" si="55"/>
        <v>100</v>
      </c>
      <c r="Q147" s="20"/>
      <c r="R147" s="20"/>
      <c r="S147" s="20"/>
      <c r="T147" s="20"/>
      <c r="U147" s="20"/>
      <c r="V147" s="20"/>
      <c r="W147" s="20"/>
    </row>
    <row r="148" spans="1:23" ht="75.75" customHeight="1" x14ac:dyDescent="0.2">
      <c r="A148" s="181" t="s">
        <v>130</v>
      </c>
      <c r="B148" s="157">
        <v>17</v>
      </c>
      <c r="C148" s="157">
        <v>7</v>
      </c>
      <c r="D148" s="157">
        <v>81</v>
      </c>
      <c r="E148" s="157">
        <v>819</v>
      </c>
      <c r="F148" s="176" t="s">
        <v>17</v>
      </c>
      <c r="G148" s="176" t="s">
        <v>23</v>
      </c>
      <c r="H148" s="176" t="s">
        <v>189</v>
      </c>
      <c r="I148" s="176" t="s">
        <v>81</v>
      </c>
      <c r="J148" s="159" t="s">
        <v>68</v>
      </c>
      <c r="K148" s="159">
        <v>0.54700000000000004</v>
      </c>
      <c r="L148" s="159">
        <v>2016</v>
      </c>
      <c r="M148" s="93">
        <v>1062942</v>
      </c>
      <c r="N148" s="94">
        <f>O148</f>
        <v>1062942</v>
      </c>
      <c r="O148" s="208">
        <v>1062942</v>
      </c>
      <c r="P148" s="221">
        <f t="shared" si="55"/>
        <v>100</v>
      </c>
      <c r="Q148" s="20"/>
      <c r="R148" s="20"/>
      <c r="S148" s="20"/>
      <c r="T148" s="20"/>
      <c r="U148" s="20"/>
      <c r="V148" s="20"/>
      <c r="W148" s="20"/>
    </row>
    <row r="149" spans="1:23" ht="20.25" customHeight="1" x14ac:dyDescent="0.2">
      <c r="A149" s="90" t="s">
        <v>131</v>
      </c>
      <c r="B149" s="157"/>
      <c r="C149" s="157"/>
      <c r="D149" s="157"/>
      <c r="E149" s="157"/>
      <c r="F149" s="176"/>
      <c r="G149" s="176"/>
      <c r="H149" s="176"/>
      <c r="I149" s="176"/>
      <c r="J149" s="159"/>
      <c r="K149" s="159"/>
      <c r="L149" s="159"/>
      <c r="M149" s="216">
        <f>M150</f>
        <v>2680988</v>
      </c>
      <c r="N149" s="216">
        <f t="shared" ref="N149:O149" si="61">N150</f>
        <v>2680988</v>
      </c>
      <c r="O149" s="216">
        <f t="shared" si="61"/>
        <v>2680988</v>
      </c>
      <c r="P149" s="220">
        <f t="shared" si="55"/>
        <v>100</v>
      </c>
      <c r="Q149" s="20"/>
      <c r="R149" s="20"/>
      <c r="S149" s="20"/>
      <c r="T149" s="20"/>
      <c r="U149" s="20"/>
      <c r="V149" s="20"/>
      <c r="W149" s="20"/>
    </row>
    <row r="150" spans="1:23" ht="75" customHeight="1" x14ac:dyDescent="0.2">
      <c r="A150" s="42" t="s">
        <v>263</v>
      </c>
      <c r="B150" s="157">
        <v>17</v>
      </c>
      <c r="C150" s="157">
        <v>7</v>
      </c>
      <c r="D150" s="157">
        <v>81</v>
      </c>
      <c r="E150" s="157">
        <v>819</v>
      </c>
      <c r="F150" s="176" t="s">
        <v>17</v>
      </c>
      <c r="G150" s="176" t="s">
        <v>23</v>
      </c>
      <c r="H150" s="176" t="s">
        <v>189</v>
      </c>
      <c r="I150" s="176" t="s">
        <v>81</v>
      </c>
      <c r="J150" s="159" t="s">
        <v>68</v>
      </c>
      <c r="K150" s="159">
        <v>0.85099999999999998</v>
      </c>
      <c r="L150" s="159">
        <v>2016</v>
      </c>
      <c r="M150" s="93">
        <v>2680988</v>
      </c>
      <c r="N150" s="94">
        <f>O150</f>
        <v>2680988</v>
      </c>
      <c r="O150" s="208">
        <v>2680988</v>
      </c>
      <c r="P150" s="221">
        <f t="shared" si="55"/>
        <v>100</v>
      </c>
      <c r="Q150" s="20"/>
      <c r="R150" s="20"/>
      <c r="S150" s="20"/>
      <c r="T150" s="20"/>
      <c r="U150" s="20"/>
      <c r="V150" s="20"/>
      <c r="W150" s="20"/>
    </row>
    <row r="151" spans="1:23" ht="16.5" customHeight="1" x14ac:dyDescent="0.2">
      <c r="A151" s="90" t="s">
        <v>124</v>
      </c>
      <c r="B151" s="157"/>
      <c r="C151" s="157"/>
      <c r="D151" s="157"/>
      <c r="E151" s="157"/>
      <c r="F151" s="176"/>
      <c r="G151" s="176"/>
      <c r="H151" s="176"/>
      <c r="I151" s="176"/>
      <c r="J151" s="159"/>
      <c r="K151" s="159"/>
      <c r="L151" s="159"/>
      <c r="M151" s="216">
        <f>M152</f>
        <v>948233</v>
      </c>
      <c r="N151" s="216">
        <f t="shared" ref="N151:O151" si="62">N152</f>
        <v>948233</v>
      </c>
      <c r="O151" s="216">
        <f t="shared" si="62"/>
        <v>948233</v>
      </c>
      <c r="P151" s="220">
        <f t="shared" si="55"/>
        <v>100</v>
      </c>
      <c r="Q151" s="20"/>
      <c r="R151" s="20"/>
      <c r="S151" s="20"/>
      <c r="T151" s="20"/>
      <c r="U151" s="20"/>
      <c r="V151" s="20"/>
      <c r="W151" s="20"/>
    </row>
    <row r="152" spans="1:23" ht="76.5" customHeight="1" x14ac:dyDescent="0.2">
      <c r="A152" s="42" t="str">
        <f>'[1]Лист3 (2)'!$B$24</f>
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</c>
      <c r="B152" s="157">
        <v>17</v>
      </c>
      <c r="C152" s="157">
        <v>7</v>
      </c>
      <c r="D152" s="157">
        <v>81</v>
      </c>
      <c r="E152" s="157">
        <v>819</v>
      </c>
      <c r="F152" s="176" t="s">
        <v>17</v>
      </c>
      <c r="G152" s="176" t="s">
        <v>23</v>
      </c>
      <c r="H152" s="176" t="s">
        <v>189</v>
      </c>
      <c r="I152" s="176" t="s">
        <v>81</v>
      </c>
      <c r="J152" s="159" t="s">
        <v>68</v>
      </c>
      <c r="K152" s="159">
        <v>0.40300000000000002</v>
      </c>
      <c r="L152" s="159">
        <v>2016</v>
      </c>
      <c r="M152" s="93">
        <v>948233</v>
      </c>
      <c r="N152" s="94">
        <f>O152</f>
        <v>948233</v>
      </c>
      <c r="O152" s="208">
        <v>948233</v>
      </c>
      <c r="P152" s="221">
        <f t="shared" si="55"/>
        <v>100</v>
      </c>
      <c r="Q152" s="20"/>
      <c r="R152" s="20"/>
      <c r="S152" s="20"/>
      <c r="T152" s="20"/>
      <c r="U152" s="20"/>
      <c r="V152" s="20"/>
      <c r="W152" s="20"/>
    </row>
    <row r="153" spans="1:23" ht="16.5" customHeight="1" x14ac:dyDescent="0.2">
      <c r="A153" s="90" t="s">
        <v>125</v>
      </c>
      <c r="B153" s="157"/>
      <c r="C153" s="157"/>
      <c r="D153" s="157"/>
      <c r="E153" s="157"/>
      <c r="F153" s="176"/>
      <c r="G153" s="176"/>
      <c r="H153" s="176"/>
      <c r="I153" s="176"/>
      <c r="J153" s="159"/>
      <c r="K153" s="159"/>
      <c r="L153" s="159"/>
      <c r="M153" s="216">
        <f>M154+M155+M156</f>
        <v>17579163</v>
      </c>
      <c r="N153" s="216">
        <f t="shared" ref="N153:O153" si="63">N154+N155+N156</f>
        <v>4760525</v>
      </c>
      <c r="O153" s="216">
        <f t="shared" si="63"/>
        <v>4760525</v>
      </c>
      <c r="P153" s="220">
        <f t="shared" si="55"/>
        <v>27.080498656278458</v>
      </c>
      <c r="Q153" s="20"/>
      <c r="R153" s="20"/>
      <c r="S153" s="20"/>
      <c r="T153" s="20"/>
      <c r="U153" s="20"/>
      <c r="V153" s="20"/>
      <c r="W153" s="20"/>
    </row>
    <row r="154" spans="1:23" ht="74.25" customHeight="1" x14ac:dyDescent="0.2">
      <c r="A154" s="42" t="s">
        <v>267</v>
      </c>
      <c r="B154" s="157">
        <v>17</v>
      </c>
      <c r="C154" s="157">
        <v>7</v>
      </c>
      <c r="D154" s="157">
        <v>81</v>
      </c>
      <c r="E154" s="157">
        <v>819</v>
      </c>
      <c r="F154" s="176" t="s">
        <v>17</v>
      </c>
      <c r="G154" s="176" t="s">
        <v>23</v>
      </c>
      <c r="H154" s="176" t="s">
        <v>189</v>
      </c>
      <c r="I154" s="176" t="s">
        <v>81</v>
      </c>
      <c r="J154" s="159" t="s">
        <v>68</v>
      </c>
      <c r="K154" s="159">
        <v>5.4359999999999999</v>
      </c>
      <c r="L154" s="159">
        <v>2016</v>
      </c>
      <c r="M154" s="93">
        <f>14533941-880599</f>
        <v>13653342</v>
      </c>
      <c r="N154" s="94">
        <f>O154</f>
        <v>834704</v>
      </c>
      <c r="O154" s="208">
        <v>834704</v>
      </c>
      <c r="P154" s="221">
        <f t="shared" si="55"/>
        <v>6.1135508068281013</v>
      </c>
      <c r="Q154" s="20"/>
      <c r="R154" s="20"/>
      <c r="S154" s="20"/>
      <c r="T154" s="20"/>
      <c r="U154" s="20"/>
      <c r="V154" s="20"/>
      <c r="W154" s="20"/>
    </row>
    <row r="155" spans="1:23" ht="75" customHeight="1" x14ac:dyDescent="0.2">
      <c r="A155" s="42" t="str">
        <f>'[1]Лист3 (2)'!$B$28</f>
        <v xml:space="preserve">Строительство автомобильной дороги Подъезд к МТФ в н.п. Курово ООО СП "Дружба"  от автомобильной дороги   "Брянск - Новозыбков" - Погар - Гремяч (обход г.Погара) на км 2+600   в Погарском районе Брянской области </v>
      </c>
      <c r="B155" s="157">
        <v>17</v>
      </c>
      <c r="C155" s="157">
        <v>7</v>
      </c>
      <c r="D155" s="157">
        <v>81</v>
      </c>
      <c r="E155" s="157">
        <v>819</v>
      </c>
      <c r="F155" s="176" t="s">
        <v>17</v>
      </c>
      <c r="G155" s="176" t="s">
        <v>23</v>
      </c>
      <c r="H155" s="176" t="s">
        <v>189</v>
      </c>
      <c r="I155" s="176" t="s">
        <v>81</v>
      </c>
      <c r="J155" s="159" t="s">
        <v>68</v>
      </c>
      <c r="K155" s="159">
        <v>1.014</v>
      </c>
      <c r="L155" s="159">
        <v>2016</v>
      </c>
      <c r="M155" s="93">
        <v>2995035</v>
      </c>
      <c r="N155" s="94">
        <f>O155</f>
        <v>2995035</v>
      </c>
      <c r="O155" s="208">
        <v>2995035</v>
      </c>
      <c r="P155" s="221">
        <f t="shared" si="55"/>
        <v>100</v>
      </c>
      <c r="Q155" s="20"/>
      <c r="R155" s="20"/>
      <c r="S155" s="20"/>
      <c r="T155" s="20"/>
      <c r="U155" s="20"/>
      <c r="V155" s="20"/>
      <c r="W155" s="20"/>
    </row>
    <row r="156" spans="1:23" ht="76.5" customHeight="1" x14ac:dyDescent="0.2">
      <c r="A156" s="42" t="s">
        <v>264</v>
      </c>
      <c r="B156" s="157">
        <v>17</v>
      </c>
      <c r="C156" s="157">
        <v>7</v>
      </c>
      <c r="D156" s="157">
        <v>81</v>
      </c>
      <c r="E156" s="157">
        <v>819</v>
      </c>
      <c r="F156" s="176" t="s">
        <v>17</v>
      </c>
      <c r="G156" s="176" t="s">
        <v>23</v>
      </c>
      <c r="H156" s="176" t="s">
        <v>189</v>
      </c>
      <c r="I156" s="176" t="s">
        <v>81</v>
      </c>
      <c r="J156" s="159" t="s">
        <v>68</v>
      </c>
      <c r="K156" s="182">
        <v>0.32</v>
      </c>
      <c r="L156" s="159">
        <v>2016</v>
      </c>
      <c r="M156" s="93">
        <v>930786</v>
      </c>
      <c r="N156" s="94">
        <f>O156</f>
        <v>930786</v>
      </c>
      <c r="O156" s="208">
        <v>930786</v>
      </c>
      <c r="P156" s="221">
        <f t="shared" si="55"/>
        <v>100</v>
      </c>
      <c r="Q156" s="20"/>
      <c r="R156" s="20"/>
      <c r="S156" s="20"/>
      <c r="T156" s="20"/>
      <c r="U156" s="20"/>
      <c r="V156" s="20"/>
      <c r="W156" s="20"/>
    </row>
    <row r="157" spans="1:23" ht="13.5" customHeight="1" x14ac:dyDescent="0.2">
      <c r="A157" s="90" t="s">
        <v>85</v>
      </c>
      <c r="B157" s="157"/>
      <c r="C157" s="157"/>
      <c r="D157" s="157"/>
      <c r="E157" s="157"/>
      <c r="F157" s="176"/>
      <c r="G157" s="176"/>
      <c r="H157" s="176"/>
      <c r="I157" s="176"/>
      <c r="J157" s="159"/>
      <c r="K157" s="159"/>
      <c r="L157" s="159"/>
      <c r="M157" s="216">
        <f>M158+M159</f>
        <v>9226951</v>
      </c>
      <c r="N157" s="216">
        <f t="shared" ref="N157:O157" si="64">N158+N159</f>
        <v>9226951</v>
      </c>
      <c r="O157" s="216">
        <f t="shared" si="64"/>
        <v>9226951</v>
      </c>
      <c r="P157" s="220">
        <f t="shared" si="55"/>
        <v>100</v>
      </c>
      <c r="Q157" s="20"/>
      <c r="R157" s="20"/>
      <c r="S157" s="20"/>
      <c r="T157" s="20"/>
      <c r="U157" s="20"/>
      <c r="V157" s="20"/>
      <c r="W157" s="20"/>
    </row>
    <row r="158" spans="1:23" ht="75.75" customHeight="1" x14ac:dyDescent="0.2">
      <c r="A158" s="42" t="s">
        <v>266</v>
      </c>
      <c r="B158" s="157">
        <v>17</v>
      </c>
      <c r="C158" s="157">
        <v>7</v>
      </c>
      <c r="D158" s="157">
        <v>81</v>
      </c>
      <c r="E158" s="157">
        <v>819</v>
      </c>
      <c r="F158" s="176" t="s">
        <v>17</v>
      </c>
      <c r="G158" s="176" t="s">
        <v>23</v>
      </c>
      <c r="H158" s="176" t="s">
        <v>189</v>
      </c>
      <c r="I158" s="176" t="s">
        <v>81</v>
      </c>
      <c r="J158" s="159" t="s">
        <v>68</v>
      </c>
      <c r="K158" s="159">
        <v>0.69499999999999995</v>
      </c>
      <c r="L158" s="159">
        <v>2016</v>
      </c>
      <c r="M158" s="93">
        <v>2118489</v>
      </c>
      <c r="N158" s="94">
        <f>O158</f>
        <v>2118489</v>
      </c>
      <c r="O158" s="208">
        <v>2118489</v>
      </c>
      <c r="P158" s="221">
        <f t="shared" si="55"/>
        <v>100</v>
      </c>
      <c r="Q158" s="20"/>
      <c r="R158" s="20"/>
      <c r="S158" s="20"/>
      <c r="T158" s="20"/>
      <c r="U158" s="20"/>
      <c r="V158" s="20"/>
      <c r="W158" s="20"/>
    </row>
    <row r="159" spans="1:23" ht="72" customHeight="1" x14ac:dyDescent="0.2">
      <c r="A159" s="42" t="s">
        <v>265</v>
      </c>
      <c r="B159" s="157">
        <v>17</v>
      </c>
      <c r="C159" s="157">
        <v>7</v>
      </c>
      <c r="D159" s="157">
        <v>81</v>
      </c>
      <c r="E159" s="157">
        <v>819</v>
      </c>
      <c r="F159" s="176" t="s">
        <v>17</v>
      </c>
      <c r="G159" s="176" t="s">
        <v>23</v>
      </c>
      <c r="H159" s="176" t="s">
        <v>189</v>
      </c>
      <c r="I159" s="176" t="s">
        <v>81</v>
      </c>
      <c r="J159" s="159" t="s">
        <v>68</v>
      </c>
      <c r="K159" s="159">
        <v>0.93300000000000005</v>
      </c>
      <c r="L159" s="159">
        <v>2016</v>
      </c>
      <c r="M159" s="93">
        <v>7108462</v>
      </c>
      <c r="N159" s="94">
        <f>O159</f>
        <v>7108462</v>
      </c>
      <c r="O159" s="208">
        <v>7108462</v>
      </c>
      <c r="P159" s="221">
        <f t="shared" si="55"/>
        <v>100</v>
      </c>
      <c r="Q159" s="20"/>
      <c r="R159" s="20"/>
      <c r="S159" s="20"/>
      <c r="T159" s="20"/>
      <c r="U159" s="20"/>
      <c r="V159" s="20"/>
      <c r="W159" s="20"/>
    </row>
    <row r="160" spans="1:23" ht="20.25" customHeight="1" x14ac:dyDescent="0.2">
      <c r="A160" s="90" t="s">
        <v>97</v>
      </c>
      <c r="B160" s="157"/>
      <c r="C160" s="157"/>
      <c r="D160" s="157"/>
      <c r="E160" s="157"/>
      <c r="F160" s="176"/>
      <c r="G160" s="176"/>
      <c r="H160" s="176"/>
      <c r="I160" s="176"/>
      <c r="J160" s="159"/>
      <c r="K160" s="159"/>
      <c r="L160" s="159"/>
      <c r="M160" s="216">
        <f>M161+M162+M163</f>
        <v>13082954</v>
      </c>
      <c r="N160" s="216">
        <f t="shared" ref="N160:O160" si="65">N161+N162+N163</f>
        <v>13082954</v>
      </c>
      <c r="O160" s="216">
        <f t="shared" si="65"/>
        <v>13082954</v>
      </c>
      <c r="P160" s="220">
        <f t="shared" si="55"/>
        <v>100</v>
      </c>
      <c r="Q160" s="20"/>
      <c r="R160" s="20"/>
      <c r="S160" s="20"/>
      <c r="T160" s="20"/>
      <c r="U160" s="20"/>
      <c r="V160" s="20"/>
      <c r="W160" s="20"/>
    </row>
    <row r="161" spans="1:23" ht="84" customHeight="1" x14ac:dyDescent="0.2">
      <c r="A161" s="42" t="s">
        <v>268</v>
      </c>
      <c r="B161" s="157">
        <v>17</v>
      </c>
      <c r="C161" s="157">
        <v>7</v>
      </c>
      <c r="D161" s="157">
        <v>81</v>
      </c>
      <c r="E161" s="157">
        <v>819</v>
      </c>
      <c r="F161" s="176" t="s">
        <v>17</v>
      </c>
      <c r="G161" s="176" t="s">
        <v>23</v>
      </c>
      <c r="H161" s="176" t="s">
        <v>189</v>
      </c>
      <c r="I161" s="176" t="s">
        <v>81</v>
      </c>
      <c r="J161" s="159" t="s">
        <v>68</v>
      </c>
      <c r="K161" s="159">
        <v>1.226</v>
      </c>
      <c r="L161" s="159">
        <v>2016</v>
      </c>
      <c r="M161" s="93">
        <v>2434803</v>
      </c>
      <c r="N161" s="94">
        <f t="shared" ref="N161:N163" si="66">O161</f>
        <v>2434803</v>
      </c>
      <c r="O161" s="208">
        <v>2434803</v>
      </c>
      <c r="P161" s="221">
        <f t="shared" si="55"/>
        <v>100</v>
      </c>
      <c r="Q161" s="20"/>
      <c r="R161" s="20"/>
      <c r="S161" s="20"/>
      <c r="T161" s="20"/>
      <c r="U161" s="20"/>
      <c r="V161" s="20"/>
      <c r="W161" s="20"/>
    </row>
    <row r="162" spans="1:23" ht="87" customHeight="1" x14ac:dyDescent="0.2">
      <c r="A162" s="42" t="s">
        <v>269</v>
      </c>
      <c r="B162" s="157">
        <v>17</v>
      </c>
      <c r="C162" s="157">
        <v>7</v>
      </c>
      <c r="D162" s="157">
        <v>81</v>
      </c>
      <c r="E162" s="157">
        <v>819</v>
      </c>
      <c r="F162" s="176" t="s">
        <v>17</v>
      </c>
      <c r="G162" s="176" t="s">
        <v>23</v>
      </c>
      <c r="H162" s="176" t="s">
        <v>189</v>
      </c>
      <c r="I162" s="176" t="s">
        <v>81</v>
      </c>
      <c r="J162" s="159" t="s">
        <v>68</v>
      </c>
      <c r="K162" s="159">
        <v>2.673</v>
      </c>
      <c r="L162" s="159">
        <v>2016</v>
      </c>
      <c r="M162" s="93">
        <v>6396264</v>
      </c>
      <c r="N162" s="94">
        <f t="shared" si="66"/>
        <v>6396264</v>
      </c>
      <c r="O162" s="208">
        <v>6396264</v>
      </c>
      <c r="P162" s="221">
        <f t="shared" si="55"/>
        <v>100</v>
      </c>
      <c r="Q162" s="20"/>
      <c r="R162" s="20"/>
      <c r="S162" s="20"/>
      <c r="T162" s="20"/>
      <c r="U162" s="20"/>
      <c r="V162" s="20"/>
      <c r="W162" s="20"/>
    </row>
    <row r="163" spans="1:23" ht="84" customHeight="1" x14ac:dyDescent="0.2">
      <c r="A163" s="42" t="s">
        <v>270</v>
      </c>
      <c r="B163" s="157">
        <v>17</v>
      </c>
      <c r="C163" s="157">
        <v>7</v>
      </c>
      <c r="D163" s="157">
        <v>81</v>
      </c>
      <c r="E163" s="157">
        <v>819</v>
      </c>
      <c r="F163" s="176" t="s">
        <v>17</v>
      </c>
      <c r="G163" s="176" t="s">
        <v>23</v>
      </c>
      <c r="H163" s="176" t="s">
        <v>189</v>
      </c>
      <c r="I163" s="176" t="s">
        <v>81</v>
      </c>
      <c r="J163" s="159" t="s">
        <v>68</v>
      </c>
      <c r="K163" s="159">
        <v>1.5669999999999999</v>
      </c>
      <c r="L163" s="159">
        <v>2016</v>
      </c>
      <c r="M163" s="93">
        <v>4251887</v>
      </c>
      <c r="N163" s="94">
        <f t="shared" si="66"/>
        <v>4251887</v>
      </c>
      <c r="O163" s="208">
        <v>4251887</v>
      </c>
      <c r="P163" s="221">
        <f t="shared" si="55"/>
        <v>100</v>
      </c>
      <c r="Q163" s="20"/>
      <c r="R163" s="20"/>
      <c r="S163" s="20"/>
      <c r="T163" s="20"/>
      <c r="U163" s="20"/>
      <c r="V163" s="20"/>
      <c r="W163" s="20"/>
    </row>
    <row r="164" spans="1:23" ht="19.5" customHeight="1" x14ac:dyDescent="0.2">
      <c r="A164" s="90" t="s">
        <v>76</v>
      </c>
      <c r="B164" s="157"/>
      <c r="C164" s="157"/>
      <c r="D164" s="157"/>
      <c r="E164" s="157"/>
      <c r="F164" s="176"/>
      <c r="G164" s="176"/>
      <c r="H164" s="176"/>
      <c r="I164" s="176"/>
      <c r="J164" s="159"/>
      <c r="K164" s="159"/>
      <c r="L164" s="159"/>
      <c r="M164" s="216">
        <f>M165</f>
        <v>5221264</v>
      </c>
      <c r="N164" s="216">
        <f t="shared" ref="N164:O164" si="67">N165</f>
        <v>5221264</v>
      </c>
      <c r="O164" s="216">
        <f t="shared" si="67"/>
        <v>5221264</v>
      </c>
      <c r="P164" s="220">
        <f t="shared" si="55"/>
        <v>100</v>
      </c>
      <c r="Q164" s="20"/>
      <c r="R164" s="20"/>
      <c r="S164" s="20"/>
      <c r="T164" s="20"/>
      <c r="U164" s="20"/>
      <c r="V164" s="20"/>
      <c r="W164" s="20"/>
    </row>
    <row r="165" spans="1:23" s="11" customFormat="1" ht="39" customHeight="1" x14ac:dyDescent="0.2">
      <c r="A165" s="42" t="str">
        <f>'[1]Лист3 (2)'!$B$35</f>
        <v>Строительство автомобильной дороги Кветунь-Удолье  в Трубчевском районе Брянской области</v>
      </c>
      <c r="B165" s="157">
        <v>17</v>
      </c>
      <c r="C165" s="157">
        <v>7</v>
      </c>
      <c r="D165" s="157">
        <v>81</v>
      </c>
      <c r="E165" s="157">
        <v>819</v>
      </c>
      <c r="F165" s="176" t="s">
        <v>17</v>
      </c>
      <c r="G165" s="176" t="s">
        <v>23</v>
      </c>
      <c r="H165" s="176" t="s">
        <v>189</v>
      </c>
      <c r="I165" s="176" t="s">
        <v>81</v>
      </c>
      <c r="J165" s="159" t="s">
        <v>68</v>
      </c>
      <c r="K165" s="159">
        <v>1.1870000000000001</v>
      </c>
      <c r="L165" s="159">
        <v>2016</v>
      </c>
      <c r="M165" s="93">
        <v>5221264</v>
      </c>
      <c r="N165" s="94">
        <f>O165</f>
        <v>5221264</v>
      </c>
      <c r="O165" s="208">
        <v>5221264</v>
      </c>
      <c r="P165" s="221">
        <f t="shared" si="55"/>
        <v>100</v>
      </c>
      <c r="Q165" s="20"/>
      <c r="R165" s="20"/>
      <c r="S165" s="20"/>
      <c r="T165" s="20"/>
      <c r="U165" s="20"/>
      <c r="V165" s="20"/>
      <c r="W165" s="20"/>
    </row>
    <row r="166" spans="1:23" ht="16.5" customHeight="1" x14ac:dyDescent="0.2">
      <c r="A166" s="49" t="s">
        <v>24</v>
      </c>
      <c r="B166" s="101" t="s">
        <v>45</v>
      </c>
      <c r="C166" s="101" t="s">
        <v>13</v>
      </c>
      <c r="D166" s="101">
        <v>81</v>
      </c>
      <c r="E166" s="101" t="s">
        <v>32</v>
      </c>
      <c r="F166" s="101" t="s">
        <v>18</v>
      </c>
      <c r="G166" s="101" t="s">
        <v>0</v>
      </c>
      <c r="H166" s="102"/>
      <c r="I166" s="102"/>
      <c r="J166" s="161"/>
      <c r="K166" s="159"/>
      <c r="L166" s="103"/>
      <c r="M166" s="213">
        <f>M167</f>
        <v>26412097.539999999</v>
      </c>
      <c r="N166" s="213">
        <f t="shared" ref="N166:O166" si="68">N167</f>
        <v>26073660.690000001</v>
      </c>
      <c r="O166" s="213">
        <f t="shared" si="68"/>
        <v>26412096.690000001</v>
      </c>
      <c r="P166" s="220">
        <f t="shared" si="55"/>
        <v>99.999996781777753</v>
      </c>
      <c r="Q166" s="20"/>
      <c r="R166" s="20"/>
      <c r="S166" s="20"/>
      <c r="T166" s="20"/>
      <c r="U166" s="20"/>
      <c r="V166" s="20"/>
      <c r="W166" s="20"/>
    </row>
    <row r="167" spans="1:23" ht="17.25" customHeight="1" x14ac:dyDescent="0.2">
      <c r="A167" s="49" t="s">
        <v>26</v>
      </c>
      <c r="B167" s="101" t="s">
        <v>45</v>
      </c>
      <c r="C167" s="101" t="s">
        <v>13</v>
      </c>
      <c r="D167" s="101">
        <v>81</v>
      </c>
      <c r="E167" s="101" t="s">
        <v>32</v>
      </c>
      <c r="F167" s="101" t="s">
        <v>18</v>
      </c>
      <c r="G167" s="101" t="s">
        <v>16</v>
      </c>
      <c r="H167" s="102"/>
      <c r="I167" s="102"/>
      <c r="J167" s="161"/>
      <c r="K167" s="159"/>
      <c r="L167" s="103"/>
      <c r="M167" s="213">
        <f>M168+M169</f>
        <v>26412097.539999999</v>
      </c>
      <c r="N167" s="213">
        <f t="shared" ref="N167:O167" si="69">N168+N169</f>
        <v>26073660.690000001</v>
      </c>
      <c r="O167" s="213">
        <f t="shared" si="69"/>
        <v>26412096.690000001</v>
      </c>
      <c r="P167" s="220">
        <f t="shared" si="55"/>
        <v>99.999996781777753</v>
      </c>
      <c r="Q167" s="20"/>
      <c r="R167" s="20"/>
      <c r="S167" s="20"/>
      <c r="T167" s="20"/>
      <c r="U167" s="20"/>
      <c r="V167" s="20"/>
      <c r="W167" s="20"/>
    </row>
    <row r="168" spans="1:23" ht="41.25" customHeight="1" x14ac:dyDescent="0.2">
      <c r="A168" s="49" t="s">
        <v>84</v>
      </c>
      <c r="B168" s="101" t="s">
        <v>45</v>
      </c>
      <c r="C168" s="101" t="s">
        <v>13</v>
      </c>
      <c r="D168" s="101">
        <v>81</v>
      </c>
      <c r="E168" s="101" t="s">
        <v>32</v>
      </c>
      <c r="F168" s="101" t="s">
        <v>18</v>
      </c>
      <c r="G168" s="101" t="s">
        <v>16</v>
      </c>
      <c r="H168" s="101">
        <v>11270</v>
      </c>
      <c r="I168" s="101" t="s">
        <v>0</v>
      </c>
      <c r="J168" s="161"/>
      <c r="K168" s="159"/>
      <c r="L168" s="103"/>
      <c r="M168" s="213">
        <f>M170</f>
        <v>659652</v>
      </c>
      <c r="N168" s="213">
        <f t="shared" ref="N168:O168" si="70">N170</f>
        <v>321216</v>
      </c>
      <c r="O168" s="213">
        <f t="shared" si="70"/>
        <v>659652</v>
      </c>
      <c r="P168" s="220">
        <f t="shared" si="55"/>
        <v>100</v>
      </c>
      <c r="Q168" s="20"/>
      <c r="R168" s="20"/>
      <c r="S168" s="20"/>
      <c r="T168" s="20"/>
      <c r="U168" s="20"/>
      <c r="V168" s="20"/>
      <c r="W168" s="20"/>
    </row>
    <row r="169" spans="1:23" ht="28.5" customHeight="1" x14ac:dyDescent="0.2">
      <c r="A169" s="49" t="s">
        <v>129</v>
      </c>
      <c r="B169" s="101" t="s">
        <v>45</v>
      </c>
      <c r="C169" s="101" t="s">
        <v>13</v>
      </c>
      <c r="D169" s="101">
        <v>81</v>
      </c>
      <c r="E169" s="101" t="s">
        <v>32</v>
      </c>
      <c r="F169" s="101" t="s">
        <v>18</v>
      </c>
      <c r="G169" s="101" t="s">
        <v>16</v>
      </c>
      <c r="H169" s="101" t="s">
        <v>189</v>
      </c>
      <c r="I169" s="101"/>
      <c r="J169" s="161"/>
      <c r="K169" s="159"/>
      <c r="L169" s="103"/>
      <c r="M169" s="213">
        <f>M171</f>
        <v>25752445.539999999</v>
      </c>
      <c r="N169" s="213">
        <f t="shared" ref="N169:O169" si="71">N171</f>
        <v>25752444.690000001</v>
      </c>
      <c r="O169" s="213">
        <f t="shared" si="71"/>
        <v>25752444.690000001</v>
      </c>
      <c r="P169" s="220">
        <f t="shared" si="55"/>
        <v>99.999996699342603</v>
      </c>
      <c r="Q169" s="20"/>
      <c r="R169" s="20"/>
      <c r="S169" s="20"/>
      <c r="T169" s="20"/>
      <c r="U169" s="20"/>
      <c r="V169" s="20"/>
      <c r="W169" s="20"/>
    </row>
    <row r="170" spans="1:23" ht="18.75" customHeight="1" x14ac:dyDescent="0.2">
      <c r="A170" s="235" t="s">
        <v>80</v>
      </c>
      <c r="B170" s="101" t="s">
        <v>45</v>
      </c>
      <c r="C170" s="101" t="s">
        <v>13</v>
      </c>
      <c r="D170" s="101">
        <v>81</v>
      </c>
      <c r="E170" s="101" t="s">
        <v>32</v>
      </c>
      <c r="F170" s="101" t="s">
        <v>18</v>
      </c>
      <c r="G170" s="101" t="s">
        <v>16</v>
      </c>
      <c r="H170" s="101">
        <v>11270</v>
      </c>
      <c r="I170" s="101" t="s">
        <v>81</v>
      </c>
      <c r="J170" s="161"/>
      <c r="K170" s="159"/>
      <c r="L170" s="103"/>
      <c r="M170" s="213">
        <f>M172+M186</f>
        <v>659652</v>
      </c>
      <c r="N170" s="213">
        <f t="shared" ref="N170:O170" si="72">N172+N186</f>
        <v>321216</v>
      </c>
      <c r="O170" s="213">
        <f t="shared" si="72"/>
        <v>659652</v>
      </c>
      <c r="P170" s="220">
        <f t="shared" si="55"/>
        <v>100</v>
      </c>
      <c r="Q170" s="20"/>
      <c r="R170" s="20"/>
      <c r="S170" s="20"/>
      <c r="T170" s="20"/>
      <c r="U170" s="20"/>
      <c r="V170" s="20"/>
      <c r="W170" s="20"/>
    </row>
    <row r="171" spans="1:23" ht="31.5" customHeight="1" x14ac:dyDescent="0.2">
      <c r="A171" s="236"/>
      <c r="B171" s="101" t="s">
        <v>45</v>
      </c>
      <c r="C171" s="101" t="s">
        <v>13</v>
      </c>
      <c r="D171" s="101">
        <v>81</v>
      </c>
      <c r="E171" s="101" t="s">
        <v>32</v>
      </c>
      <c r="F171" s="101" t="s">
        <v>18</v>
      </c>
      <c r="G171" s="101" t="s">
        <v>16</v>
      </c>
      <c r="H171" s="101" t="s">
        <v>189</v>
      </c>
      <c r="I171" s="101" t="s">
        <v>81</v>
      </c>
      <c r="J171" s="161"/>
      <c r="K171" s="159"/>
      <c r="L171" s="103"/>
      <c r="M171" s="213">
        <f>M173+M187</f>
        <v>25752445.539999999</v>
      </c>
      <c r="N171" s="213">
        <f t="shared" ref="N171:O171" si="73">N173+N187</f>
        <v>25752444.690000001</v>
      </c>
      <c r="O171" s="213">
        <f t="shared" si="73"/>
        <v>25752444.690000001</v>
      </c>
      <c r="P171" s="220">
        <f t="shared" si="55"/>
        <v>99.999996699342603</v>
      </c>
      <c r="Q171" s="20"/>
      <c r="R171" s="20"/>
      <c r="S171" s="20"/>
      <c r="T171" s="20"/>
      <c r="U171" s="20"/>
      <c r="V171" s="20"/>
      <c r="W171" s="20"/>
    </row>
    <row r="172" spans="1:23" ht="15.75" customHeight="1" x14ac:dyDescent="0.2">
      <c r="A172" s="237" t="s">
        <v>89</v>
      </c>
      <c r="B172" s="101" t="s">
        <v>45</v>
      </c>
      <c r="C172" s="101" t="s">
        <v>13</v>
      </c>
      <c r="D172" s="101">
        <v>81</v>
      </c>
      <c r="E172" s="101" t="s">
        <v>32</v>
      </c>
      <c r="F172" s="101" t="s">
        <v>18</v>
      </c>
      <c r="G172" s="101" t="s">
        <v>16</v>
      </c>
      <c r="H172" s="101">
        <v>11270</v>
      </c>
      <c r="I172" s="101" t="s">
        <v>81</v>
      </c>
      <c r="J172" s="161"/>
      <c r="K172" s="159"/>
      <c r="L172" s="103"/>
      <c r="M172" s="209">
        <f>M183+M182</f>
        <v>341276</v>
      </c>
      <c r="N172" s="209">
        <f t="shared" ref="N172:O172" si="74">N183+N182</f>
        <v>321216</v>
      </c>
      <c r="O172" s="209">
        <f t="shared" si="74"/>
        <v>341276</v>
      </c>
      <c r="P172" s="220">
        <f t="shared" si="55"/>
        <v>100</v>
      </c>
      <c r="Q172" s="20"/>
      <c r="R172" s="20"/>
      <c r="S172" s="20"/>
      <c r="T172" s="20"/>
      <c r="U172" s="20"/>
      <c r="V172" s="20"/>
      <c r="W172" s="20"/>
    </row>
    <row r="173" spans="1:23" ht="20.25" customHeight="1" x14ac:dyDescent="0.2">
      <c r="A173" s="238"/>
      <c r="B173" s="101" t="s">
        <v>45</v>
      </c>
      <c r="C173" s="101" t="s">
        <v>13</v>
      </c>
      <c r="D173" s="101">
        <v>81</v>
      </c>
      <c r="E173" s="101" t="s">
        <v>32</v>
      </c>
      <c r="F173" s="101" t="s">
        <v>18</v>
      </c>
      <c r="G173" s="101" t="s">
        <v>16</v>
      </c>
      <c r="H173" s="101" t="s">
        <v>189</v>
      </c>
      <c r="I173" s="101" t="s">
        <v>81</v>
      </c>
      <c r="J173" s="161"/>
      <c r="K173" s="159"/>
      <c r="L173" s="103"/>
      <c r="M173" s="209">
        <f>M176+M178+M181+M174</f>
        <v>2029278</v>
      </c>
      <c r="N173" s="209">
        <f t="shared" ref="N173:O173" si="75">N176+N178+N181+N174</f>
        <v>2029278</v>
      </c>
      <c r="O173" s="209">
        <f t="shared" si="75"/>
        <v>2029278</v>
      </c>
      <c r="P173" s="220">
        <f t="shared" si="55"/>
        <v>100</v>
      </c>
      <c r="Q173" s="20"/>
      <c r="R173" s="20"/>
      <c r="S173" s="20"/>
      <c r="T173" s="20"/>
      <c r="U173" s="20"/>
      <c r="V173" s="20"/>
      <c r="W173" s="20"/>
    </row>
    <row r="174" spans="1:23" ht="17.25" customHeight="1" x14ac:dyDescent="0.2">
      <c r="A174" s="183" t="s">
        <v>66</v>
      </c>
      <c r="B174" s="101"/>
      <c r="C174" s="101"/>
      <c r="D174" s="101"/>
      <c r="E174" s="101"/>
      <c r="F174" s="101"/>
      <c r="G174" s="101"/>
      <c r="H174" s="101"/>
      <c r="I174" s="101"/>
      <c r="J174" s="161"/>
      <c r="K174" s="159"/>
      <c r="L174" s="103"/>
      <c r="M174" s="209">
        <f>M175</f>
        <v>1124950</v>
      </c>
      <c r="N174" s="209">
        <f t="shared" ref="N174:O174" si="76">N175</f>
        <v>1124950</v>
      </c>
      <c r="O174" s="209">
        <f t="shared" si="76"/>
        <v>1124950</v>
      </c>
      <c r="P174" s="220">
        <f t="shared" si="55"/>
        <v>100</v>
      </c>
      <c r="Q174" s="20"/>
      <c r="R174" s="20"/>
      <c r="S174" s="20"/>
      <c r="T174" s="20"/>
      <c r="U174" s="20"/>
      <c r="V174" s="20"/>
      <c r="W174" s="20"/>
    </row>
    <row r="175" spans="1:23" ht="27" customHeight="1" x14ac:dyDescent="0.2">
      <c r="A175" s="184" t="s">
        <v>390</v>
      </c>
      <c r="B175" s="102" t="s">
        <v>45</v>
      </c>
      <c r="C175" s="102" t="s">
        <v>13</v>
      </c>
      <c r="D175" s="102">
        <v>81</v>
      </c>
      <c r="E175" s="102" t="s">
        <v>32</v>
      </c>
      <c r="F175" s="102" t="s">
        <v>18</v>
      </c>
      <c r="G175" s="102" t="s">
        <v>16</v>
      </c>
      <c r="H175" s="102" t="s">
        <v>189</v>
      </c>
      <c r="I175" s="102" t="s">
        <v>81</v>
      </c>
      <c r="J175" s="124" t="s">
        <v>68</v>
      </c>
      <c r="K175" s="124">
        <v>2.222</v>
      </c>
      <c r="L175" s="124">
        <v>2016</v>
      </c>
      <c r="M175" s="80">
        <v>1124950</v>
      </c>
      <c r="N175" s="94">
        <f>O175</f>
        <v>1124950</v>
      </c>
      <c r="O175" s="207">
        <v>1124950</v>
      </c>
      <c r="P175" s="221">
        <f t="shared" si="55"/>
        <v>100</v>
      </c>
      <c r="Q175" s="20"/>
      <c r="R175" s="20"/>
      <c r="S175" s="20"/>
      <c r="T175" s="20"/>
      <c r="U175" s="20"/>
      <c r="V175" s="20"/>
      <c r="W175" s="20"/>
    </row>
    <row r="176" spans="1:23" ht="15" customHeight="1" x14ac:dyDescent="0.2">
      <c r="A176" s="183" t="s">
        <v>204</v>
      </c>
      <c r="B176" s="101"/>
      <c r="C176" s="101"/>
      <c r="D176" s="101"/>
      <c r="E176" s="101"/>
      <c r="F176" s="101"/>
      <c r="G176" s="101"/>
      <c r="H176" s="101"/>
      <c r="I176" s="101"/>
      <c r="J176" s="161"/>
      <c r="K176" s="159"/>
      <c r="L176" s="103"/>
      <c r="M176" s="209">
        <f>M177</f>
        <v>353175</v>
      </c>
      <c r="N176" s="209">
        <f t="shared" ref="N176:O176" si="77">N177</f>
        <v>353175</v>
      </c>
      <c r="O176" s="209">
        <f t="shared" si="77"/>
        <v>353175</v>
      </c>
      <c r="P176" s="220">
        <f t="shared" si="55"/>
        <v>100</v>
      </c>
      <c r="Q176" s="20"/>
      <c r="R176" s="20"/>
      <c r="S176" s="20"/>
      <c r="T176" s="20"/>
      <c r="U176" s="20"/>
      <c r="V176" s="20"/>
      <c r="W176" s="20"/>
    </row>
    <row r="177" spans="1:23" ht="48.75" customHeight="1" x14ac:dyDescent="0.2">
      <c r="A177" s="185" t="s">
        <v>378</v>
      </c>
      <c r="B177" s="102" t="s">
        <v>45</v>
      </c>
      <c r="C177" s="102" t="s">
        <v>13</v>
      </c>
      <c r="D177" s="102">
        <v>81</v>
      </c>
      <c r="E177" s="102" t="s">
        <v>32</v>
      </c>
      <c r="F177" s="102" t="s">
        <v>18</v>
      </c>
      <c r="G177" s="102" t="s">
        <v>16</v>
      </c>
      <c r="H177" s="102" t="s">
        <v>189</v>
      </c>
      <c r="I177" s="102" t="s">
        <v>81</v>
      </c>
      <c r="J177" s="161" t="s">
        <v>68</v>
      </c>
      <c r="K177" s="159">
        <v>0.89</v>
      </c>
      <c r="L177" s="103">
        <v>2016</v>
      </c>
      <c r="M177" s="80">
        <f>501030-147855</f>
        <v>353175</v>
      </c>
      <c r="N177" s="94">
        <f>O177</f>
        <v>353175</v>
      </c>
      <c r="O177" s="208">
        <v>353175</v>
      </c>
      <c r="P177" s="221">
        <f t="shared" si="55"/>
        <v>100</v>
      </c>
      <c r="Q177" s="20"/>
      <c r="R177" s="20"/>
      <c r="S177" s="20"/>
      <c r="T177" s="20"/>
      <c r="U177" s="20"/>
      <c r="V177" s="20"/>
      <c r="W177" s="20"/>
    </row>
    <row r="178" spans="1:23" x14ac:dyDescent="0.2">
      <c r="A178" s="85" t="s">
        <v>230</v>
      </c>
      <c r="B178" s="101"/>
      <c r="C178" s="101"/>
      <c r="D178" s="101"/>
      <c r="E178" s="101"/>
      <c r="F178" s="101"/>
      <c r="G178" s="101"/>
      <c r="H178" s="101"/>
      <c r="I178" s="101"/>
      <c r="J178" s="161"/>
      <c r="K178" s="159"/>
      <c r="L178" s="103"/>
      <c r="M178" s="209">
        <f>M179</f>
        <v>273413</v>
      </c>
      <c r="N178" s="209">
        <f t="shared" ref="N178:O178" si="78">N179</f>
        <v>273413</v>
      </c>
      <c r="O178" s="209">
        <f t="shared" si="78"/>
        <v>273413</v>
      </c>
      <c r="P178" s="220">
        <f t="shared" si="55"/>
        <v>100</v>
      </c>
      <c r="Q178" s="20"/>
      <c r="R178" s="20"/>
      <c r="S178" s="20"/>
      <c r="T178" s="20"/>
      <c r="U178" s="20"/>
      <c r="V178" s="20"/>
      <c r="W178" s="20"/>
    </row>
    <row r="179" spans="1:23" ht="27" customHeight="1" x14ac:dyDescent="0.2">
      <c r="A179" s="146" t="s">
        <v>379</v>
      </c>
      <c r="B179" s="102" t="s">
        <v>45</v>
      </c>
      <c r="C179" s="102" t="s">
        <v>13</v>
      </c>
      <c r="D179" s="102">
        <v>81</v>
      </c>
      <c r="E179" s="102" t="s">
        <v>32</v>
      </c>
      <c r="F179" s="102" t="s">
        <v>18</v>
      </c>
      <c r="G179" s="102" t="s">
        <v>16</v>
      </c>
      <c r="H179" s="102" t="s">
        <v>189</v>
      </c>
      <c r="I179" s="102" t="s">
        <v>81</v>
      </c>
      <c r="J179" s="161" t="s">
        <v>68</v>
      </c>
      <c r="K179" s="159">
        <v>1.1220000000000001</v>
      </c>
      <c r="L179" s="103">
        <v>2016</v>
      </c>
      <c r="M179" s="80">
        <f>300330-26917</f>
        <v>273413</v>
      </c>
      <c r="N179" s="94">
        <f>O179</f>
        <v>273413</v>
      </c>
      <c r="O179" s="208">
        <v>273413</v>
      </c>
      <c r="P179" s="221">
        <f t="shared" si="55"/>
        <v>100</v>
      </c>
      <c r="Q179" s="20"/>
      <c r="R179" s="20"/>
      <c r="S179" s="20"/>
      <c r="T179" s="20"/>
      <c r="U179" s="20"/>
      <c r="V179" s="20"/>
      <c r="W179" s="20"/>
    </row>
    <row r="180" spans="1:23" ht="20.25" customHeight="1" x14ac:dyDescent="0.2">
      <c r="A180" s="49" t="s">
        <v>67</v>
      </c>
      <c r="B180" s="102"/>
      <c r="C180" s="102"/>
      <c r="D180" s="102"/>
      <c r="E180" s="102"/>
      <c r="F180" s="102"/>
      <c r="G180" s="102"/>
      <c r="H180" s="102"/>
      <c r="I180" s="102"/>
      <c r="J180" s="159"/>
      <c r="K180" s="159"/>
      <c r="L180" s="103"/>
      <c r="M180" s="216">
        <f>M181+M182</f>
        <v>598956</v>
      </c>
      <c r="N180" s="216">
        <f t="shared" ref="N180:O180" si="79">N181+N182</f>
        <v>598956</v>
      </c>
      <c r="O180" s="216">
        <f t="shared" si="79"/>
        <v>598956</v>
      </c>
      <c r="P180" s="220">
        <f t="shared" si="55"/>
        <v>100</v>
      </c>
      <c r="Q180" s="20"/>
      <c r="R180" s="20"/>
      <c r="S180" s="20"/>
      <c r="T180" s="20"/>
      <c r="U180" s="20"/>
      <c r="V180" s="20"/>
      <c r="W180" s="20"/>
    </row>
    <row r="181" spans="1:23" ht="26.25" customHeight="1" x14ac:dyDescent="0.2">
      <c r="A181" s="98" t="s">
        <v>380</v>
      </c>
      <c r="B181" s="102" t="s">
        <v>45</v>
      </c>
      <c r="C181" s="102" t="s">
        <v>13</v>
      </c>
      <c r="D181" s="102">
        <v>81</v>
      </c>
      <c r="E181" s="102" t="s">
        <v>32</v>
      </c>
      <c r="F181" s="102" t="s">
        <v>18</v>
      </c>
      <c r="G181" s="102" t="s">
        <v>16</v>
      </c>
      <c r="H181" s="102" t="s">
        <v>189</v>
      </c>
      <c r="I181" s="102" t="s">
        <v>81</v>
      </c>
      <c r="J181" s="159" t="s">
        <v>68</v>
      </c>
      <c r="K181" s="159">
        <v>2.1240000000000001</v>
      </c>
      <c r="L181" s="103">
        <v>2016</v>
      </c>
      <c r="M181" s="94">
        <f>176700+101140-100</f>
        <v>277740</v>
      </c>
      <c r="N181" s="94">
        <f t="shared" ref="N181:N182" si="80">O181</f>
        <v>277740</v>
      </c>
      <c r="O181" s="208">
        <v>277740</v>
      </c>
      <c r="P181" s="221">
        <f t="shared" si="55"/>
        <v>100</v>
      </c>
      <c r="Q181" s="20"/>
      <c r="R181" s="20"/>
      <c r="S181" s="20"/>
      <c r="T181" s="20"/>
      <c r="U181" s="20"/>
      <c r="V181" s="20"/>
      <c r="W181" s="20"/>
    </row>
    <row r="182" spans="1:23" ht="26.25" customHeight="1" x14ac:dyDescent="0.2">
      <c r="A182" s="98" t="s">
        <v>299</v>
      </c>
      <c r="B182" s="102" t="s">
        <v>45</v>
      </c>
      <c r="C182" s="102" t="s">
        <v>13</v>
      </c>
      <c r="D182" s="102">
        <v>81</v>
      </c>
      <c r="E182" s="102" t="s">
        <v>32</v>
      </c>
      <c r="F182" s="102" t="s">
        <v>18</v>
      </c>
      <c r="G182" s="102" t="s">
        <v>16</v>
      </c>
      <c r="H182" s="102">
        <v>11270</v>
      </c>
      <c r="I182" s="102" t="s">
        <v>81</v>
      </c>
      <c r="J182" s="159" t="s">
        <v>68</v>
      </c>
      <c r="K182" s="159">
        <v>3.2</v>
      </c>
      <c r="L182" s="103">
        <v>2016</v>
      </c>
      <c r="M182" s="94">
        <f>403116-81900</f>
        <v>321216</v>
      </c>
      <c r="N182" s="94">
        <f t="shared" si="80"/>
        <v>321216</v>
      </c>
      <c r="O182" s="208">
        <v>321216</v>
      </c>
      <c r="P182" s="221">
        <f t="shared" si="55"/>
        <v>100</v>
      </c>
      <c r="Q182" s="20"/>
      <c r="R182" s="20"/>
      <c r="S182" s="20"/>
      <c r="T182" s="20"/>
      <c r="U182" s="20"/>
      <c r="V182" s="20"/>
      <c r="W182" s="20"/>
    </row>
    <row r="183" spans="1:23" s="20" customFormat="1" x14ac:dyDescent="0.2">
      <c r="A183" s="50" t="s">
        <v>199</v>
      </c>
      <c r="B183" s="102"/>
      <c r="C183" s="102"/>
      <c r="D183" s="102"/>
      <c r="E183" s="102"/>
      <c r="F183" s="152"/>
      <c r="G183" s="152"/>
      <c r="H183" s="102"/>
      <c r="I183" s="102"/>
      <c r="J183" s="159"/>
      <c r="K183" s="159"/>
      <c r="L183" s="159"/>
      <c r="M183" s="210">
        <f>M184</f>
        <v>20060</v>
      </c>
      <c r="N183" s="210">
        <f t="shared" ref="N183:O183" si="81">N184</f>
        <v>0</v>
      </c>
      <c r="O183" s="210">
        <f t="shared" si="81"/>
        <v>20060</v>
      </c>
      <c r="P183" s="220">
        <f t="shared" si="55"/>
        <v>100</v>
      </c>
    </row>
    <row r="184" spans="1:23" s="20" customFormat="1" x14ac:dyDescent="0.2">
      <c r="A184" s="42" t="s">
        <v>335</v>
      </c>
      <c r="B184" s="102" t="s">
        <v>45</v>
      </c>
      <c r="C184" s="102" t="s">
        <v>13</v>
      </c>
      <c r="D184" s="102">
        <v>81</v>
      </c>
      <c r="E184" s="102" t="s">
        <v>32</v>
      </c>
      <c r="F184" s="102" t="s">
        <v>18</v>
      </c>
      <c r="G184" s="102" t="s">
        <v>16</v>
      </c>
      <c r="H184" s="102">
        <v>11270</v>
      </c>
      <c r="I184" s="102" t="s">
        <v>81</v>
      </c>
      <c r="J184" s="159" t="s">
        <v>68</v>
      </c>
      <c r="K184" s="159">
        <v>0.34499999999999997</v>
      </c>
      <c r="L184" s="159"/>
      <c r="M184" s="94">
        <v>20060</v>
      </c>
      <c r="N184" s="94">
        <v>0</v>
      </c>
      <c r="O184" s="94">
        <v>20060</v>
      </c>
      <c r="P184" s="221">
        <f t="shared" si="55"/>
        <v>100</v>
      </c>
    </row>
    <row r="185" spans="1:23" s="20" customFormat="1" ht="38.25" customHeight="1" x14ac:dyDescent="0.2">
      <c r="A185" s="45" t="s">
        <v>191</v>
      </c>
      <c r="B185" s="102"/>
      <c r="C185" s="102"/>
      <c r="D185" s="102"/>
      <c r="E185" s="102"/>
      <c r="F185" s="152"/>
      <c r="G185" s="152"/>
      <c r="H185" s="102"/>
      <c r="I185" s="102"/>
      <c r="J185" s="159"/>
      <c r="K185" s="159"/>
      <c r="L185" s="159"/>
      <c r="M185" s="94">
        <v>20060</v>
      </c>
      <c r="N185" s="94">
        <v>0</v>
      </c>
      <c r="O185" s="94">
        <v>20060</v>
      </c>
      <c r="P185" s="221">
        <f t="shared" si="55"/>
        <v>100</v>
      </c>
    </row>
    <row r="186" spans="1:23" ht="16.5" customHeight="1" x14ac:dyDescent="0.2">
      <c r="A186" s="237" t="s">
        <v>90</v>
      </c>
      <c r="B186" s="95">
        <v>17</v>
      </c>
      <c r="C186" s="95" t="s">
        <v>13</v>
      </c>
      <c r="D186" s="95">
        <v>81</v>
      </c>
      <c r="E186" s="95" t="s">
        <v>32</v>
      </c>
      <c r="F186" s="95" t="s">
        <v>18</v>
      </c>
      <c r="G186" s="95" t="s">
        <v>16</v>
      </c>
      <c r="H186" s="95">
        <v>11270</v>
      </c>
      <c r="I186" s="95" t="s">
        <v>81</v>
      </c>
      <c r="J186" s="124"/>
      <c r="K186" s="124"/>
      <c r="L186" s="97"/>
      <c r="M186" s="216">
        <f>M203</f>
        <v>318376</v>
      </c>
      <c r="N186" s="216">
        <f t="shared" ref="N186:O186" si="82">N203</f>
        <v>0</v>
      </c>
      <c r="O186" s="216">
        <f t="shared" si="82"/>
        <v>318376</v>
      </c>
      <c r="P186" s="220">
        <f t="shared" si="55"/>
        <v>100</v>
      </c>
      <c r="Q186" s="20"/>
      <c r="R186" s="20"/>
      <c r="S186" s="20"/>
      <c r="T186" s="20"/>
      <c r="U186" s="20"/>
      <c r="V186" s="20"/>
      <c r="W186" s="20"/>
    </row>
    <row r="187" spans="1:23" ht="20.25" customHeight="1" x14ac:dyDescent="0.2">
      <c r="A187" s="238"/>
      <c r="B187" s="95" t="s">
        <v>45</v>
      </c>
      <c r="C187" s="95" t="s">
        <v>13</v>
      </c>
      <c r="D187" s="95">
        <v>81</v>
      </c>
      <c r="E187" s="95" t="s">
        <v>32</v>
      </c>
      <c r="F187" s="95" t="s">
        <v>18</v>
      </c>
      <c r="G187" s="95" t="s">
        <v>16</v>
      </c>
      <c r="H187" s="101" t="s">
        <v>189</v>
      </c>
      <c r="I187" s="95" t="s">
        <v>81</v>
      </c>
      <c r="J187" s="124"/>
      <c r="K187" s="124"/>
      <c r="L187" s="97"/>
      <c r="M187" s="216">
        <f>M188+M190+M193+M196+M202+M200</f>
        <v>23723167.539999999</v>
      </c>
      <c r="N187" s="216">
        <f t="shared" ref="N187:O187" si="83">N188+N190+N193+N196+N202+N200</f>
        <v>23723166.690000001</v>
      </c>
      <c r="O187" s="216">
        <f t="shared" si="83"/>
        <v>23723166.690000001</v>
      </c>
      <c r="P187" s="220">
        <f t="shared" si="55"/>
        <v>99.999996417004624</v>
      </c>
      <c r="Q187" s="20"/>
      <c r="R187" s="20"/>
      <c r="S187" s="20"/>
      <c r="T187" s="20"/>
      <c r="U187" s="20"/>
      <c r="V187" s="20"/>
      <c r="W187" s="20"/>
    </row>
    <row r="188" spans="1:23" x14ac:dyDescent="0.2">
      <c r="A188" s="186" t="s">
        <v>66</v>
      </c>
      <c r="B188" s="95"/>
      <c r="C188" s="95"/>
      <c r="D188" s="95"/>
      <c r="E188" s="95"/>
      <c r="F188" s="95"/>
      <c r="G188" s="95"/>
      <c r="H188" s="95"/>
      <c r="I188" s="95"/>
      <c r="J188" s="124"/>
      <c r="K188" s="124"/>
      <c r="L188" s="97"/>
      <c r="M188" s="216">
        <f>M189</f>
        <v>5556099.1500000004</v>
      </c>
      <c r="N188" s="216">
        <f t="shared" ref="N188:O188" si="84">N189</f>
        <v>5556099.1500000004</v>
      </c>
      <c r="O188" s="216">
        <f t="shared" si="84"/>
        <v>5556099.1500000004</v>
      </c>
      <c r="P188" s="220">
        <f t="shared" si="55"/>
        <v>100</v>
      </c>
      <c r="Q188" s="20"/>
      <c r="R188" s="20"/>
      <c r="S188" s="20"/>
      <c r="T188" s="20"/>
      <c r="U188" s="20"/>
      <c r="V188" s="20"/>
      <c r="W188" s="20"/>
    </row>
    <row r="189" spans="1:23" ht="59.25" customHeight="1" x14ac:dyDescent="0.2">
      <c r="A189" s="185" t="s">
        <v>381</v>
      </c>
      <c r="B189" s="99" t="s">
        <v>45</v>
      </c>
      <c r="C189" s="99" t="s">
        <v>13</v>
      </c>
      <c r="D189" s="99">
        <v>81</v>
      </c>
      <c r="E189" s="99" t="s">
        <v>32</v>
      </c>
      <c r="F189" s="99" t="s">
        <v>18</v>
      </c>
      <c r="G189" s="99" t="s">
        <v>16</v>
      </c>
      <c r="H189" s="102" t="s">
        <v>189</v>
      </c>
      <c r="I189" s="99" t="s">
        <v>81</v>
      </c>
      <c r="J189" s="124" t="s">
        <v>68</v>
      </c>
      <c r="K189" s="124">
        <v>5.0780000000000003</v>
      </c>
      <c r="L189" s="97" t="s">
        <v>356</v>
      </c>
      <c r="M189" s="93">
        <f>5608400-52300.85</f>
        <v>5556099.1500000004</v>
      </c>
      <c r="N189" s="94">
        <f t="shared" ref="N189" si="85">O189</f>
        <v>5556099.1500000004</v>
      </c>
      <c r="O189" s="208">
        <v>5556099.1500000004</v>
      </c>
      <c r="P189" s="221">
        <f t="shared" si="55"/>
        <v>100</v>
      </c>
      <c r="Q189" s="20"/>
      <c r="R189" s="20"/>
      <c r="S189" s="20"/>
      <c r="T189" s="20"/>
      <c r="U189" s="20"/>
      <c r="V189" s="20"/>
      <c r="W189" s="20"/>
    </row>
    <row r="190" spans="1:23" x14ac:dyDescent="0.2">
      <c r="A190" s="186" t="s">
        <v>65</v>
      </c>
      <c r="B190" s="95"/>
      <c r="C190" s="95"/>
      <c r="D190" s="95"/>
      <c r="E190" s="95"/>
      <c r="F190" s="95"/>
      <c r="G190" s="95"/>
      <c r="H190" s="95"/>
      <c r="I190" s="95"/>
      <c r="J190" s="124"/>
      <c r="K190" s="124"/>
      <c r="L190" s="97"/>
      <c r="M190" s="216">
        <f>M191+M192</f>
        <v>3681732.8499999996</v>
      </c>
      <c r="N190" s="216">
        <f t="shared" ref="N190:O190" si="86">N191+N192</f>
        <v>3681732</v>
      </c>
      <c r="O190" s="216">
        <f t="shared" si="86"/>
        <v>3681732</v>
      </c>
      <c r="P190" s="220">
        <f t="shared" si="55"/>
        <v>99.999976913045188</v>
      </c>
      <c r="Q190" s="20"/>
      <c r="R190" s="20"/>
      <c r="S190" s="20"/>
      <c r="T190" s="20"/>
      <c r="U190" s="20"/>
      <c r="V190" s="20"/>
      <c r="W190" s="20"/>
    </row>
    <row r="191" spans="1:23" ht="36.75" customHeight="1" x14ac:dyDescent="0.2">
      <c r="A191" s="187" t="s">
        <v>382</v>
      </c>
      <c r="B191" s="99" t="s">
        <v>45</v>
      </c>
      <c r="C191" s="99" t="s">
        <v>13</v>
      </c>
      <c r="D191" s="99">
        <v>81</v>
      </c>
      <c r="E191" s="99" t="s">
        <v>32</v>
      </c>
      <c r="F191" s="99" t="s">
        <v>18</v>
      </c>
      <c r="G191" s="99" t="s">
        <v>16</v>
      </c>
      <c r="H191" s="102" t="s">
        <v>189</v>
      </c>
      <c r="I191" s="99" t="s">
        <v>81</v>
      </c>
      <c r="J191" s="124" t="s">
        <v>68</v>
      </c>
      <c r="K191" s="159">
        <v>6.0540000000000003</v>
      </c>
      <c r="L191" s="97">
        <v>2016</v>
      </c>
      <c r="M191" s="93">
        <f>4628957.85-1588186</f>
        <v>3040771.8499999996</v>
      </c>
      <c r="N191" s="94">
        <f t="shared" ref="N191:N192" si="87">O191</f>
        <v>3040771</v>
      </c>
      <c r="O191" s="208">
        <v>3040771</v>
      </c>
      <c r="P191" s="221">
        <f t="shared" si="55"/>
        <v>99.999972046571017</v>
      </c>
      <c r="Q191" s="20"/>
      <c r="R191" s="20"/>
      <c r="S191" s="20"/>
      <c r="T191" s="20"/>
      <c r="U191" s="20"/>
      <c r="V191" s="20"/>
      <c r="W191" s="20"/>
    </row>
    <row r="192" spans="1:23" ht="24.75" customHeight="1" x14ac:dyDescent="0.2">
      <c r="A192" s="187" t="s">
        <v>383</v>
      </c>
      <c r="B192" s="99" t="s">
        <v>45</v>
      </c>
      <c r="C192" s="99" t="s">
        <v>13</v>
      </c>
      <c r="D192" s="99">
        <v>81</v>
      </c>
      <c r="E192" s="99" t="s">
        <v>32</v>
      </c>
      <c r="F192" s="99" t="s">
        <v>18</v>
      </c>
      <c r="G192" s="99" t="s">
        <v>16</v>
      </c>
      <c r="H192" s="102" t="s">
        <v>189</v>
      </c>
      <c r="I192" s="99" t="s">
        <v>81</v>
      </c>
      <c r="J192" s="124" t="s">
        <v>68</v>
      </c>
      <c r="K192" s="124">
        <v>1.4910000000000001</v>
      </c>
      <c r="L192" s="97">
        <v>2016</v>
      </c>
      <c r="M192" s="93">
        <f>63825+786400-209264</f>
        <v>640961</v>
      </c>
      <c r="N192" s="94">
        <f t="shared" si="87"/>
        <v>640961</v>
      </c>
      <c r="O192" s="208">
        <v>640961</v>
      </c>
      <c r="P192" s="221">
        <f t="shared" si="55"/>
        <v>100</v>
      </c>
      <c r="Q192" s="20"/>
      <c r="R192" s="20"/>
      <c r="S192" s="20"/>
      <c r="T192" s="20"/>
      <c r="U192" s="20"/>
      <c r="V192" s="20"/>
      <c r="W192" s="20"/>
    </row>
    <row r="193" spans="1:23" x14ac:dyDescent="0.2">
      <c r="A193" s="186" t="s">
        <v>96</v>
      </c>
      <c r="B193" s="95"/>
      <c r="C193" s="95"/>
      <c r="D193" s="95"/>
      <c r="E193" s="95"/>
      <c r="F193" s="95"/>
      <c r="G193" s="95"/>
      <c r="H193" s="95"/>
      <c r="I193" s="95"/>
      <c r="J193" s="124"/>
      <c r="K193" s="124"/>
      <c r="L193" s="97"/>
      <c r="M193" s="216">
        <f>M194+M195</f>
        <v>1058921</v>
      </c>
      <c r="N193" s="216">
        <f t="shared" ref="N193:O193" si="88">N194+N195</f>
        <v>1058921</v>
      </c>
      <c r="O193" s="216">
        <f t="shared" si="88"/>
        <v>1058921</v>
      </c>
      <c r="P193" s="220">
        <f t="shared" si="55"/>
        <v>100</v>
      </c>
      <c r="Q193" s="20"/>
      <c r="R193" s="20"/>
      <c r="S193" s="20"/>
      <c r="T193" s="20"/>
      <c r="U193" s="20"/>
      <c r="V193" s="20"/>
      <c r="W193" s="20"/>
    </row>
    <row r="194" spans="1:23" ht="49.5" customHeight="1" x14ac:dyDescent="0.2">
      <c r="A194" s="185" t="s">
        <v>384</v>
      </c>
      <c r="B194" s="99" t="s">
        <v>45</v>
      </c>
      <c r="C194" s="99" t="s">
        <v>13</v>
      </c>
      <c r="D194" s="99">
        <v>81</v>
      </c>
      <c r="E194" s="99" t="s">
        <v>32</v>
      </c>
      <c r="F194" s="99" t="s">
        <v>18</v>
      </c>
      <c r="G194" s="99" t="s">
        <v>16</v>
      </c>
      <c r="H194" s="102" t="s">
        <v>189</v>
      </c>
      <c r="I194" s="99" t="s">
        <v>81</v>
      </c>
      <c r="J194" s="124" t="s">
        <v>68</v>
      </c>
      <c r="K194" s="124">
        <v>1.2470000000000001</v>
      </c>
      <c r="L194" s="97">
        <v>2016</v>
      </c>
      <c r="M194" s="93">
        <f>505500+247737-174785-99800</f>
        <v>478652</v>
      </c>
      <c r="N194" s="94">
        <f t="shared" ref="N194:N195" si="89">O194</f>
        <v>478652</v>
      </c>
      <c r="O194" s="208">
        <v>478652</v>
      </c>
      <c r="P194" s="221">
        <f t="shared" si="55"/>
        <v>100</v>
      </c>
      <c r="Q194" s="20"/>
      <c r="R194" s="20"/>
      <c r="S194" s="20"/>
      <c r="T194" s="20"/>
      <c r="U194" s="20"/>
      <c r="V194" s="20"/>
      <c r="W194" s="20"/>
    </row>
    <row r="195" spans="1:23" ht="29.25" customHeight="1" x14ac:dyDescent="0.2">
      <c r="A195" s="42" t="s">
        <v>385</v>
      </c>
      <c r="B195" s="99" t="s">
        <v>45</v>
      </c>
      <c r="C195" s="99" t="s">
        <v>13</v>
      </c>
      <c r="D195" s="99">
        <v>81</v>
      </c>
      <c r="E195" s="99" t="s">
        <v>32</v>
      </c>
      <c r="F195" s="99" t="s">
        <v>18</v>
      </c>
      <c r="G195" s="99" t="s">
        <v>16</v>
      </c>
      <c r="H195" s="102" t="s">
        <v>189</v>
      </c>
      <c r="I195" s="99" t="s">
        <v>81</v>
      </c>
      <c r="J195" s="124" t="s">
        <v>68</v>
      </c>
      <c r="K195" s="124">
        <v>1.63</v>
      </c>
      <c r="L195" s="97">
        <v>2016</v>
      </c>
      <c r="M195" s="93">
        <f>734917.15-93931-60000-717.15</f>
        <v>580269</v>
      </c>
      <c r="N195" s="94">
        <f t="shared" si="89"/>
        <v>580269</v>
      </c>
      <c r="O195" s="208">
        <v>580269</v>
      </c>
      <c r="P195" s="221">
        <f t="shared" si="55"/>
        <v>100</v>
      </c>
      <c r="Q195" s="20"/>
      <c r="R195" s="20"/>
      <c r="S195" s="20"/>
      <c r="T195" s="20"/>
      <c r="U195" s="20"/>
      <c r="V195" s="20"/>
      <c r="W195" s="20"/>
    </row>
    <row r="196" spans="1:23" x14ac:dyDescent="0.2">
      <c r="A196" s="90" t="s">
        <v>71</v>
      </c>
      <c r="B196" s="95"/>
      <c r="C196" s="95"/>
      <c r="D196" s="95"/>
      <c r="E196" s="95"/>
      <c r="F196" s="95"/>
      <c r="G196" s="95"/>
      <c r="H196" s="95"/>
      <c r="I196" s="95"/>
      <c r="J196" s="124"/>
      <c r="K196" s="124"/>
      <c r="L196" s="97"/>
      <c r="M196" s="216">
        <f>M197+M198</f>
        <v>1653597.54</v>
      </c>
      <c r="N196" s="216">
        <f t="shared" ref="N196:O196" si="90">N197+N198</f>
        <v>1653597.54</v>
      </c>
      <c r="O196" s="216">
        <f t="shared" si="90"/>
        <v>1653597.54</v>
      </c>
      <c r="P196" s="220">
        <f t="shared" si="55"/>
        <v>100</v>
      </c>
      <c r="Q196" s="20"/>
      <c r="R196" s="20"/>
      <c r="S196" s="20"/>
      <c r="T196" s="20"/>
      <c r="U196" s="20"/>
      <c r="V196" s="20"/>
      <c r="W196" s="20"/>
    </row>
    <row r="197" spans="1:23" ht="26.25" customHeight="1" x14ac:dyDescent="0.2">
      <c r="A197" s="42" t="s">
        <v>386</v>
      </c>
      <c r="B197" s="99" t="s">
        <v>45</v>
      </c>
      <c r="C197" s="99" t="s">
        <v>13</v>
      </c>
      <c r="D197" s="99">
        <v>81</v>
      </c>
      <c r="E197" s="99" t="s">
        <v>32</v>
      </c>
      <c r="F197" s="99" t="s">
        <v>18</v>
      </c>
      <c r="G197" s="99" t="s">
        <v>16</v>
      </c>
      <c r="H197" s="102" t="s">
        <v>189</v>
      </c>
      <c r="I197" s="99" t="s">
        <v>81</v>
      </c>
      <c r="J197" s="124" t="s">
        <v>68</v>
      </c>
      <c r="K197" s="124">
        <v>2.4409999999999998</v>
      </c>
      <c r="L197" s="97">
        <v>2016</v>
      </c>
      <c r="M197" s="93">
        <f>972300-40212-12515-59550.76</f>
        <v>860022.24</v>
      </c>
      <c r="N197" s="94">
        <f t="shared" ref="N197:N198" si="91">O197</f>
        <v>860022.24</v>
      </c>
      <c r="O197" s="208">
        <v>860022.24</v>
      </c>
      <c r="P197" s="221">
        <f t="shared" si="55"/>
        <v>100</v>
      </c>
      <c r="Q197" s="20"/>
      <c r="R197" s="20"/>
      <c r="S197" s="20"/>
      <c r="T197" s="20"/>
      <c r="U197" s="20"/>
      <c r="V197" s="20"/>
      <c r="W197" s="20"/>
    </row>
    <row r="198" spans="1:23" ht="24.75" customHeight="1" x14ac:dyDescent="0.2">
      <c r="A198" s="42" t="s">
        <v>387</v>
      </c>
      <c r="B198" s="99" t="s">
        <v>45</v>
      </c>
      <c r="C198" s="99" t="s">
        <v>13</v>
      </c>
      <c r="D198" s="99">
        <v>81</v>
      </c>
      <c r="E198" s="99" t="s">
        <v>32</v>
      </c>
      <c r="F198" s="99" t="s">
        <v>18</v>
      </c>
      <c r="G198" s="99" t="s">
        <v>16</v>
      </c>
      <c r="H198" s="102" t="s">
        <v>189</v>
      </c>
      <c r="I198" s="99" t="s">
        <v>81</v>
      </c>
      <c r="J198" s="124" t="s">
        <v>68</v>
      </c>
      <c r="K198" s="124">
        <v>2.2410000000000001</v>
      </c>
      <c r="L198" s="97">
        <v>2016</v>
      </c>
      <c r="M198" s="93">
        <f>1077300-101647-182077.7</f>
        <v>793575.3</v>
      </c>
      <c r="N198" s="94">
        <f t="shared" si="91"/>
        <v>793575.3</v>
      </c>
      <c r="O198" s="208">
        <v>793575.3</v>
      </c>
      <c r="P198" s="221">
        <f t="shared" si="55"/>
        <v>100</v>
      </c>
      <c r="Q198" s="20"/>
      <c r="R198" s="20"/>
      <c r="S198" s="20"/>
      <c r="T198" s="20"/>
      <c r="U198" s="20"/>
      <c r="V198" s="20"/>
      <c r="W198" s="20"/>
    </row>
    <row r="199" spans="1:23" ht="16.5" customHeight="1" x14ac:dyDescent="0.2">
      <c r="A199" s="49" t="s">
        <v>67</v>
      </c>
      <c r="B199" s="99"/>
      <c r="C199" s="99"/>
      <c r="D199" s="99"/>
      <c r="E199" s="99"/>
      <c r="F199" s="99"/>
      <c r="G199" s="99"/>
      <c r="H199" s="99"/>
      <c r="I199" s="99"/>
      <c r="J199" s="124"/>
      <c r="K199" s="124"/>
      <c r="L199" s="97"/>
      <c r="M199" s="210">
        <f>M200</f>
        <v>4332817</v>
      </c>
      <c r="N199" s="210">
        <f t="shared" ref="N199:O199" si="92">N200</f>
        <v>4332817</v>
      </c>
      <c r="O199" s="210">
        <f t="shared" si="92"/>
        <v>4332817</v>
      </c>
      <c r="P199" s="220">
        <f t="shared" si="55"/>
        <v>100</v>
      </c>
      <c r="Q199" s="20"/>
      <c r="R199" s="20"/>
      <c r="S199" s="20"/>
      <c r="T199" s="20"/>
      <c r="U199" s="20"/>
      <c r="V199" s="20"/>
      <c r="W199" s="20"/>
    </row>
    <row r="200" spans="1:23" ht="39.75" customHeight="1" x14ac:dyDescent="0.2">
      <c r="A200" s="98" t="s">
        <v>388</v>
      </c>
      <c r="B200" s="99" t="s">
        <v>45</v>
      </c>
      <c r="C200" s="99" t="s">
        <v>13</v>
      </c>
      <c r="D200" s="99">
        <v>81</v>
      </c>
      <c r="E200" s="99" t="s">
        <v>32</v>
      </c>
      <c r="F200" s="99" t="s">
        <v>18</v>
      </c>
      <c r="G200" s="99" t="s">
        <v>16</v>
      </c>
      <c r="H200" s="102" t="s">
        <v>189</v>
      </c>
      <c r="I200" s="99">
        <v>522</v>
      </c>
      <c r="J200" s="153" t="s">
        <v>217</v>
      </c>
      <c r="K200" s="158" t="s">
        <v>218</v>
      </c>
      <c r="L200" s="97">
        <v>2016</v>
      </c>
      <c r="M200" s="94">
        <f>4642312.14-309495.14</f>
        <v>4332817</v>
      </c>
      <c r="N200" s="94">
        <f t="shared" ref="N200" si="93">O200</f>
        <v>4332817</v>
      </c>
      <c r="O200" s="207">
        <v>4332817</v>
      </c>
      <c r="P200" s="221">
        <f t="shared" si="55"/>
        <v>100</v>
      </c>
      <c r="Q200" s="20"/>
      <c r="R200" s="20"/>
      <c r="S200" s="20"/>
      <c r="T200" s="20"/>
      <c r="U200" s="20"/>
      <c r="V200" s="20"/>
      <c r="W200" s="20"/>
    </row>
    <row r="201" spans="1:23" s="20" customFormat="1" ht="17.25" customHeight="1" x14ac:dyDescent="0.2">
      <c r="A201" s="49" t="s">
        <v>132</v>
      </c>
      <c r="B201" s="102"/>
      <c r="C201" s="102"/>
      <c r="D201" s="102"/>
      <c r="E201" s="102"/>
      <c r="F201" s="102"/>
      <c r="G201" s="102"/>
      <c r="H201" s="102"/>
      <c r="I201" s="102"/>
      <c r="J201" s="158"/>
      <c r="K201" s="158"/>
      <c r="L201" s="159"/>
      <c r="M201" s="210">
        <f>M203+M202</f>
        <v>7758376</v>
      </c>
      <c r="N201" s="210">
        <f t="shared" ref="N201:O201" si="94">N203+N202</f>
        <v>7440000</v>
      </c>
      <c r="O201" s="210">
        <f t="shared" si="94"/>
        <v>7758376</v>
      </c>
      <c r="P201" s="220">
        <f t="shared" ref="P201:P264" si="95">O201/M201*100</f>
        <v>100</v>
      </c>
    </row>
    <row r="202" spans="1:23" s="20" customFormat="1" ht="25.5" customHeight="1" x14ac:dyDescent="0.2">
      <c r="A202" s="98" t="s">
        <v>389</v>
      </c>
      <c r="B202" s="99" t="s">
        <v>45</v>
      </c>
      <c r="C202" s="99" t="s">
        <v>13</v>
      </c>
      <c r="D202" s="99">
        <v>81</v>
      </c>
      <c r="E202" s="99" t="s">
        <v>32</v>
      </c>
      <c r="F202" s="99" t="s">
        <v>18</v>
      </c>
      <c r="G202" s="99" t="s">
        <v>16</v>
      </c>
      <c r="H202" s="102" t="s">
        <v>189</v>
      </c>
      <c r="I202" s="99" t="s">
        <v>81</v>
      </c>
      <c r="J202" s="124" t="s">
        <v>68</v>
      </c>
      <c r="K202" s="124">
        <v>6.8</v>
      </c>
      <c r="L202" s="97">
        <v>2016</v>
      </c>
      <c r="M202" s="94">
        <v>7440000</v>
      </c>
      <c r="N202" s="94">
        <f t="shared" ref="N202" si="96">O202</f>
        <v>7440000</v>
      </c>
      <c r="O202" s="207">
        <v>7440000</v>
      </c>
      <c r="P202" s="221">
        <f t="shared" si="95"/>
        <v>100</v>
      </c>
    </row>
    <row r="203" spans="1:23" s="20" customFormat="1" ht="20.25" customHeight="1" x14ac:dyDescent="0.2">
      <c r="A203" s="98" t="s">
        <v>231</v>
      </c>
      <c r="B203" s="102" t="s">
        <v>45</v>
      </c>
      <c r="C203" s="102" t="s">
        <v>13</v>
      </c>
      <c r="D203" s="102">
        <v>81</v>
      </c>
      <c r="E203" s="102" t="s">
        <v>32</v>
      </c>
      <c r="F203" s="102" t="s">
        <v>18</v>
      </c>
      <c r="G203" s="102" t="s">
        <v>16</v>
      </c>
      <c r="H203" s="102">
        <v>11270</v>
      </c>
      <c r="I203" s="102">
        <v>522</v>
      </c>
      <c r="J203" s="158" t="s">
        <v>68</v>
      </c>
      <c r="K203" s="158">
        <v>1.9</v>
      </c>
      <c r="L203" s="159">
        <v>2016</v>
      </c>
      <c r="M203" s="94">
        <f>M204</f>
        <v>318376</v>
      </c>
      <c r="N203" s="94">
        <v>0</v>
      </c>
      <c r="O203" s="207">
        <v>318376</v>
      </c>
      <c r="P203" s="221">
        <f t="shared" si="95"/>
        <v>100</v>
      </c>
    </row>
    <row r="204" spans="1:23" s="20" customFormat="1" ht="39.75" customHeight="1" x14ac:dyDescent="0.2">
      <c r="A204" s="45" t="s">
        <v>191</v>
      </c>
      <c r="B204" s="102"/>
      <c r="C204" s="102"/>
      <c r="D204" s="102"/>
      <c r="E204" s="102"/>
      <c r="F204" s="152"/>
      <c r="G204" s="152"/>
      <c r="H204" s="102"/>
      <c r="I204" s="102"/>
      <c r="J204" s="159"/>
      <c r="K204" s="159"/>
      <c r="L204" s="159"/>
      <c r="M204" s="94">
        <v>318376</v>
      </c>
      <c r="N204" s="94">
        <v>0</v>
      </c>
      <c r="O204" s="207">
        <v>318376</v>
      </c>
      <c r="P204" s="221">
        <f t="shared" si="95"/>
        <v>100</v>
      </c>
    </row>
    <row r="205" spans="1:23" s="8" customFormat="1" ht="18" customHeight="1" x14ac:dyDescent="0.2">
      <c r="A205" s="85" t="s">
        <v>38</v>
      </c>
      <c r="B205" s="95">
        <v>17</v>
      </c>
      <c r="C205" s="95">
        <v>7</v>
      </c>
      <c r="D205" s="95">
        <v>81</v>
      </c>
      <c r="E205" s="95">
        <v>819</v>
      </c>
      <c r="F205" s="115" t="s">
        <v>20</v>
      </c>
      <c r="G205" s="95"/>
      <c r="H205" s="95"/>
      <c r="I205" s="95"/>
      <c r="J205" s="188"/>
      <c r="K205" s="124"/>
      <c r="L205" s="97"/>
      <c r="M205" s="216">
        <f>M206</f>
        <v>1121986</v>
      </c>
      <c r="N205" s="216">
        <f t="shared" ref="N205:O209" si="97">N206</f>
        <v>1121986</v>
      </c>
      <c r="O205" s="216">
        <f t="shared" si="97"/>
        <v>1121986</v>
      </c>
      <c r="P205" s="220">
        <f t="shared" si="95"/>
        <v>100</v>
      </c>
      <c r="Q205" s="20"/>
      <c r="R205" s="20"/>
      <c r="S205" s="20"/>
      <c r="T205" s="20"/>
      <c r="U205" s="20"/>
      <c r="V205" s="20"/>
      <c r="W205" s="20"/>
    </row>
    <row r="206" spans="1:23" s="8" customFormat="1" ht="18" customHeight="1" x14ac:dyDescent="0.2">
      <c r="A206" s="85" t="s">
        <v>39</v>
      </c>
      <c r="B206" s="95">
        <v>17</v>
      </c>
      <c r="C206" s="95">
        <v>7</v>
      </c>
      <c r="D206" s="95">
        <v>81</v>
      </c>
      <c r="E206" s="95">
        <v>819</v>
      </c>
      <c r="F206" s="115" t="s">
        <v>20</v>
      </c>
      <c r="G206" s="115" t="s">
        <v>15</v>
      </c>
      <c r="H206" s="95"/>
      <c r="I206" s="95"/>
      <c r="J206" s="188"/>
      <c r="K206" s="124"/>
      <c r="L206" s="97"/>
      <c r="M206" s="216">
        <f>M207</f>
        <v>1121986</v>
      </c>
      <c r="N206" s="216">
        <f t="shared" si="97"/>
        <v>1121986</v>
      </c>
      <c r="O206" s="216">
        <f t="shared" si="97"/>
        <v>1121986</v>
      </c>
      <c r="P206" s="220">
        <f t="shared" si="95"/>
        <v>100</v>
      </c>
      <c r="Q206" s="20"/>
      <c r="R206" s="20"/>
      <c r="S206" s="20"/>
      <c r="T206" s="20"/>
      <c r="U206" s="20"/>
      <c r="V206" s="20"/>
      <c r="W206" s="20"/>
    </row>
    <row r="207" spans="1:23" s="8" customFormat="1" ht="38.25" customHeight="1" x14ac:dyDescent="0.2">
      <c r="A207" s="85" t="s">
        <v>84</v>
      </c>
      <c r="B207" s="95">
        <v>17</v>
      </c>
      <c r="C207" s="95">
        <v>7</v>
      </c>
      <c r="D207" s="95">
        <v>81</v>
      </c>
      <c r="E207" s="95">
        <v>819</v>
      </c>
      <c r="F207" s="115" t="s">
        <v>20</v>
      </c>
      <c r="G207" s="115" t="s">
        <v>15</v>
      </c>
      <c r="H207" s="95">
        <v>11270</v>
      </c>
      <c r="I207" s="95"/>
      <c r="J207" s="188"/>
      <c r="K207" s="124"/>
      <c r="L207" s="97"/>
      <c r="M207" s="216">
        <f>M208</f>
        <v>1121986</v>
      </c>
      <c r="N207" s="216">
        <f t="shared" si="97"/>
        <v>1121986</v>
      </c>
      <c r="O207" s="216">
        <f t="shared" si="97"/>
        <v>1121986</v>
      </c>
      <c r="P207" s="220">
        <f t="shared" si="95"/>
        <v>100</v>
      </c>
      <c r="Q207" s="20"/>
      <c r="R207" s="20"/>
      <c r="S207" s="20"/>
      <c r="T207" s="20"/>
      <c r="U207" s="20"/>
      <c r="V207" s="20"/>
      <c r="W207" s="20"/>
    </row>
    <row r="208" spans="1:23" s="8" customFormat="1" ht="50.25" customHeight="1" x14ac:dyDescent="0.2">
      <c r="A208" s="85" t="s">
        <v>80</v>
      </c>
      <c r="B208" s="95">
        <v>17</v>
      </c>
      <c r="C208" s="95">
        <v>7</v>
      </c>
      <c r="D208" s="95">
        <v>81</v>
      </c>
      <c r="E208" s="95">
        <v>819</v>
      </c>
      <c r="F208" s="115" t="s">
        <v>20</v>
      </c>
      <c r="G208" s="115" t="s">
        <v>15</v>
      </c>
      <c r="H208" s="95">
        <v>11270</v>
      </c>
      <c r="I208" s="95">
        <v>522</v>
      </c>
      <c r="J208" s="188"/>
      <c r="K208" s="124"/>
      <c r="L208" s="97"/>
      <c r="M208" s="216">
        <f>M209</f>
        <v>1121986</v>
      </c>
      <c r="N208" s="216">
        <f t="shared" si="97"/>
        <v>1121986</v>
      </c>
      <c r="O208" s="216">
        <f t="shared" si="97"/>
        <v>1121986</v>
      </c>
      <c r="P208" s="220">
        <f t="shared" si="95"/>
        <v>100</v>
      </c>
      <c r="Q208" s="20"/>
      <c r="R208" s="20"/>
      <c r="S208" s="20"/>
      <c r="T208" s="20"/>
      <c r="U208" s="20"/>
      <c r="V208" s="20"/>
      <c r="W208" s="20"/>
    </row>
    <row r="209" spans="1:23" s="8" customFormat="1" ht="15.75" customHeight="1" x14ac:dyDescent="0.2">
      <c r="A209" s="85" t="s">
        <v>95</v>
      </c>
      <c r="B209" s="99"/>
      <c r="C209" s="99"/>
      <c r="D209" s="99"/>
      <c r="E209" s="99"/>
      <c r="F209" s="150"/>
      <c r="G209" s="99"/>
      <c r="H209" s="99"/>
      <c r="I209" s="99"/>
      <c r="J209" s="124"/>
      <c r="K209" s="124"/>
      <c r="L209" s="97"/>
      <c r="M209" s="216">
        <f>M210</f>
        <v>1121986</v>
      </c>
      <c r="N209" s="216">
        <f t="shared" si="97"/>
        <v>1121986</v>
      </c>
      <c r="O209" s="216">
        <f t="shared" si="97"/>
        <v>1121986</v>
      </c>
      <c r="P209" s="220">
        <f t="shared" si="95"/>
        <v>100</v>
      </c>
      <c r="Q209" s="20"/>
      <c r="R209" s="20"/>
      <c r="S209" s="20"/>
      <c r="T209" s="20"/>
      <c r="U209" s="20"/>
      <c r="V209" s="20"/>
      <c r="W209" s="20"/>
    </row>
    <row r="210" spans="1:23" s="8" customFormat="1" ht="27" customHeight="1" x14ac:dyDescent="0.2">
      <c r="A210" s="146" t="s">
        <v>158</v>
      </c>
      <c r="B210" s="99">
        <v>17</v>
      </c>
      <c r="C210" s="99">
        <v>7</v>
      </c>
      <c r="D210" s="99">
        <v>81</v>
      </c>
      <c r="E210" s="99">
        <v>819</v>
      </c>
      <c r="F210" s="150" t="s">
        <v>20</v>
      </c>
      <c r="G210" s="150" t="s">
        <v>15</v>
      </c>
      <c r="H210" s="99">
        <v>11270</v>
      </c>
      <c r="I210" s="99">
        <v>522</v>
      </c>
      <c r="J210" s="124" t="s">
        <v>63</v>
      </c>
      <c r="K210" s="124">
        <v>200</v>
      </c>
      <c r="L210" s="97"/>
      <c r="M210" s="93">
        <f>2996165-1874179</f>
        <v>1121986</v>
      </c>
      <c r="N210" s="94">
        <f>O210</f>
        <v>1121986</v>
      </c>
      <c r="O210" s="207">
        <v>1121986</v>
      </c>
      <c r="P210" s="221">
        <f t="shared" si="95"/>
        <v>100</v>
      </c>
      <c r="Q210" s="20"/>
      <c r="R210" s="20"/>
      <c r="S210" s="20"/>
      <c r="T210" s="20"/>
      <c r="U210" s="20"/>
      <c r="V210" s="20"/>
      <c r="W210" s="20"/>
    </row>
    <row r="211" spans="1:23" ht="64.5" customHeight="1" x14ac:dyDescent="0.2">
      <c r="A211" s="49" t="s">
        <v>108</v>
      </c>
      <c r="B211" s="95" t="s">
        <v>47</v>
      </c>
      <c r="C211" s="95">
        <v>0</v>
      </c>
      <c r="D211" s="95"/>
      <c r="E211" s="99"/>
      <c r="F211" s="99"/>
      <c r="G211" s="99"/>
      <c r="H211" s="99"/>
      <c r="I211" s="99"/>
      <c r="J211" s="124"/>
      <c r="K211" s="124"/>
      <c r="L211" s="124"/>
      <c r="M211" s="213">
        <f>M212+M221+M264</f>
        <v>433539512.86000001</v>
      </c>
      <c r="N211" s="213">
        <f t="shared" ref="N211:O211" si="98">N212+N221+N264</f>
        <v>214986554.16000003</v>
      </c>
      <c r="O211" s="213">
        <f t="shared" si="98"/>
        <v>389769862.16000003</v>
      </c>
      <c r="P211" s="220">
        <f t="shared" si="95"/>
        <v>89.904114987983988</v>
      </c>
      <c r="Q211" s="20"/>
      <c r="R211" s="20"/>
      <c r="S211" s="20"/>
      <c r="T211" s="20"/>
      <c r="U211" s="20"/>
      <c r="V211" s="20"/>
      <c r="W211" s="20"/>
    </row>
    <row r="212" spans="1:23" ht="89.25" customHeight="1" x14ac:dyDescent="0.2">
      <c r="A212" s="49" t="s">
        <v>48</v>
      </c>
      <c r="B212" s="95" t="s">
        <v>47</v>
      </c>
      <c r="C212" s="95" t="s">
        <v>10</v>
      </c>
      <c r="D212" s="95"/>
      <c r="E212" s="99"/>
      <c r="F212" s="99"/>
      <c r="G212" s="99"/>
      <c r="H212" s="99"/>
      <c r="I212" s="99"/>
      <c r="J212" s="124"/>
      <c r="K212" s="124"/>
      <c r="L212" s="124"/>
      <c r="M212" s="213">
        <f>M214</f>
        <v>162290096</v>
      </c>
      <c r="N212" s="213">
        <f t="shared" ref="N212:O212" si="99">N214</f>
        <v>0</v>
      </c>
      <c r="O212" s="213">
        <f t="shared" si="99"/>
        <v>162290096</v>
      </c>
      <c r="P212" s="220">
        <f t="shared" si="95"/>
        <v>100</v>
      </c>
      <c r="Q212" s="20"/>
      <c r="R212" s="20"/>
      <c r="S212" s="20"/>
      <c r="T212" s="20"/>
      <c r="U212" s="20"/>
      <c r="V212" s="20"/>
      <c r="W212" s="20"/>
    </row>
    <row r="213" spans="1:23" ht="84" customHeight="1" x14ac:dyDescent="0.2">
      <c r="A213" s="90" t="s">
        <v>180</v>
      </c>
      <c r="B213" s="148" t="s">
        <v>47</v>
      </c>
      <c r="C213" s="148" t="s">
        <v>10</v>
      </c>
      <c r="D213" s="148">
        <v>13</v>
      </c>
      <c r="E213" s="99"/>
      <c r="F213" s="99"/>
      <c r="G213" s="99"/>
      <c r="H213" s="99"/>
      <c r="I213" s="99"/>
      <c r="J213" s="124"/>
      <c r="K213" s="124"/>
      <c r="L213" s="124"/>
      <c r="M213" s="213">
        <f t="shared" ref="M213:O218" si="100">M214</f>
        <v>162290096</v>
      </c>
      <c r="N213" s="213">
        <f t="shared" si="100"/>
        <v>0</v>
      </c>
      <c r="O213" s="213">
        <f t="shared" si="100"/>
        <v>162290096</v>
      </c>
      <c r="P213" s="220">
        <f t="shared" si="95"/>
        <v>100</v>
      </c>
      <c r="Q213" s="20"/>
      <c r="R213" s="20"/>
      <c r="S213" s="20"/>
      <c r="T213" s="20"/>
      <c r="U213" s="20"/>
      <c r="V213" s="20"/>
      <c r="W213" s="20"/>
    </row>
    <row r="214" spans="1:23" ht="18.75" customHeight="1" x14ac:dyDescent="0.2">
      <c r="A214" s="49" t="s">
        <v>27</v>
      </c>
      <c r="B214" s="95" t="s">
        <v>47</v>
      </c>
      <c r="C214" s="95" t="s">
        <v>10</v>
      </c>
      <c r="D214" s="148">
        <v>13</v>
      </c>
      <c r="E214" s="95" t="s">
        <v>32</v>
      </c>
      <c r="F214" s="95" t="s">
        <v>23</v>
      </c>
      <c r="G214" s="95" t="s">
        <v>0</v>
      </c>
      <c r="H214" s="99"/>
      <c r="I214" s="99"/>
      <c r="J214" s="124"/>
      <c r="K214" s="124"/>
      <c r="L214" s="124"/>
      <c r="M214" s="213">
        <f t="shared" si="100"/>
        <v>162290096</v>
      </c>
      <c r="N214" s="213">
        <f t="shared" si="100"/>
        <v>0</v>
      </c>
      <c r="O214" s="213">
        <f t="shared" si="100"/>
        <v>162290096</v>
      </c>
      <c r="P214" s="220">
        <f t="shared" si="95"/>
        <v>100</v>
      </c>
      <c r="Q214" s="20"/>
      <c r="R214" s="20"/>
      <c r="S214" s="20"/>
      <c r="T214" s="20"/>
      <c r="U214" s="20"/>
      <c r="V214" s="20"/>
      <c r="W214" s="20"/>
    </row>
    <row r="215" spans="1:23" ht="18.75" customHeight="1" x14ac:dyDescent="0.2">
      <c r="A215" s="49" t="s">
        <v>29</v>
      </c>
      <c r="B215" s="95" t="s">
        <v>47</v>
      </c>
      <c r="C215" s="95" t="s">
        <v>10</v>
      </c>
      <c r="D215" s="148">
        <v>13</v>
      </c>
      <c r="E215" s="95" t="s">
        <v>32</v>
      </c>
      <c r="F215" s="95" t="s">
        <v>23</v>
      </c>
      <c r="G215" s="95" t="s">
        <v>15</v>
      </c>
      <c r="H215" s="99"/>
      <c r="I215" s="99"/>
      <c r="J215" s="124"/>
      <c r="K215" s="124"/>
      <c r="L215" s="124"/>
      <c r="M215" s="213">
        <f t="shared" si="100"/>
        <v>162290096</v>
      </c>
      <c r="N215" s="213">
        <f t="shared" si="100"/>
        <v>0</v>
      </c>
      <c r="O215" s="213">
        <f t="shared" si="100"/>
        <v>162290096</v>
      </c>
      <c r="P215" s="220">
        <f t="shared" si="95"/>
        <v>100</v>
      </c>
      <c r="Q215" s="20"/>
      <c r="R215" s="20"/>
      <c r="S215" s="20"/>
      <c r="T215" s="20"/>
      <c r="U215" s="20"/>
      <c r="V215" s="20"/>
      <c r="W215" s="20"/>
    </row>
    <row r="216" spans="1:23" ht="42" customHeight="1" x14ac:dyDescent="0.2">
      <c r="A216" s="49" t="s">
        <v>84</v>
      </c>
      <c r="B216" s="95" t="s">
        <v>47</v>
      </c>
      <c r="C216" s="95" t="s">
        <v>10</v>
      </c>
      <c r="D216" s="148">
        <v>13</v>
      </c>
      <c r="E216" s="95" t="s">
        <v>32</v>
      </c>
      <c r="F216" s="95" t="s">
        <v>23</v>
      </c>
      <c r="G216" s="95" t="s">
        <v>15</v>
      </c>
      <c r="H216" s="95">
        <v>11270</v>
      </c>
      <c r="I216" s="95" t="s">
        <v>0</v>
      </c>
      <c r="J216" s="188"/>
      <c r="K216" s="188"/>
      <c r="L216" s="124"/>
      <c r="M216" s="213">
        <f t="shared" si="100"/>
        <v>162290096</v>
      </c>
      <c r="N216" s="213">
        <f t="shared" si="100"/>
        <v>0</v>
      </c>
      <c r="O216" s="213">
        <f t="shared" si="100"/>
        <v>162290096</v>
      </c>
      <c r="P216" s="220">
        <f t="shared" si="95"/>
        <v>100</v>
      </c>
      <c r="Q216" s="20"/>
      <c r="R216" s="20"/>
      <c r="S216" s="20"/>
      <c r="T216" s="20"/>
      <c r="U216" s="20"/>
      <c r="V216" s="20"/>
      <c r="W216" s="20"/>
    </row>
    <row r="217" spans="1:23" ht="50.25" customHeight="1" x14ac:dyDescent="0.2">
      <c r="A217" s="49" t="s">
        <v>87</v>
      </c>
      <c r="B217" s="95" t="s">
        <v>47</v>
      </c>
      <c r="C217" s="95" t="s">
        <v>10</v>
      </c>
      <c r="D217" s="148">
        <v>13</v>
      </c>
      <c r="E217" s="95" t="s">
        <v>32</v>
      </c>
      <c r="F217" s="95" t="s">
        <v>23</v>
      </c>
      <c r="G217" s="95" t="s">
        <v>15</v>
      </c>
      <c r="H217" s="95">
        <v>11270</v>
      </c>
      <c r="I217" s="95">
        <v>522</v>
      </c>
      <c r="J217" s="188"/>
      <c r="K217" s="188"/>
      <c r="L217" s="124"/>
      <c r="M217" s="213">
        <f t="shared" si="100"/>
        <v>162290096</v>
      </c>
      <c r="N217" s="213">
        <f t="shared" si="100"/>
        <v>0</v>
      </c>
      <c r="O217" s="213">
        <f t="shared" si="100"/>
        <v>162290096</v>
      </c>
      <c r="P217" s="220">
        <f t="shared" si="95"/>
        <v>100</v>
      </c>
      <c r="Q217" s="20"/>
      <c r="R217" s="20"/>
      <c r="S217" s="20"/>
      <c r="T217" s="20"/>
      <c r="U217" s="20"/>
      <c r="V217" s="20"/>
      <c r="W217" s="20"/>
    </row>
    <row r="218" spans="1:23" ht="18.75" customHeight="1" x14ac:dyDescent="0.2">
      <c r="A218" s="163" t="s">
        <v>72</v>
      </c>
      <c r="B218" s="95"/>
      <c r="C218" s="95"/>
      <c r="D218" s="95"/>
      <c r="E218" s="95"/>
      <c r="F218" s="95"/>
      <c r="G218" s="95"/>
      <c r="H218" s="95"/>
      <c r="I218" s="95"/>
      <c r="J218" s="188"/>
      <c r="K218" s="188"/>
      <c r="L218" s="124"/>
      <c r="M218" s="213">
        <f t="shared" si="100"/>
        <v>162290096</v>
      </c>
      <c r="N218" s="213">
        <f t="shared" si="100"/>
        <v>0</v>
      </c>
      <c r="O218" s="213">
        <f t="shared" si="100"/>
        <v>162290096</v>
      </c>
      <c r="P218" s="220">
        <f t="shared" si="95"/>
        <v>100</v>
      </c>
      <c r="Q218" s="20"/>
      <c r="R218" s="20"/>
      <c r="S218" s="20"/>
      <c r="T218" s="20"/>
      <c r="U218" s="20"/>
      <c r="V218" s="20"/>
      <c r="W218" s="20"/>
    </row>
    <row r="219" spans="1:23" ht="27" customHeight="1" x14ac:dyDescent="0.2">
      <c r="A219" s="146" t="s">
        <v>160</v>
      </c>
      <c r="B219" s="99" t="s">
        <v>47</v>
      </c>
      <c r="C219" s="99" t="s">
        <v>10</v>
      </c>
      <c r="D219" s="99">
        <v>13</v>
      </c>
      <c r="E219" s="99" t="s">
        <v>32</v>
      </c>
      <c r="F219" s="99" t="s">
        <v>23</v>
      </c>
      <c r="G219" s="99" t="s">
        <v>15</v>
      </c>
      <c r="H219" s="99">
        <v>11270</v>
      </c>
      <c r="I219" s="99">
        <v>522</v>
      </c>
      <c r="J219" s="124" t="s">
        <v>88</v>
      </c>
      <c r="K219" s="124">
        <v>98</v>
      </c>
      <c r="L219" s="124"/>
      <c r="M219" s="94">
        <f>161696062+594034</f>
        <v>162290096</v>
      </c>
      <c r="N219" s="94">
        <v>0</v>
      </c>
      <c r="O219" s="206">
        <v>162290096</v>
      </c>
      <c r="P219" s="221">
        <f t="shared" si="95"/>
        <v>100</v>
      </c>
      <c r="Q219" s="20"/>
      <c r="R219" s="20"/>
      <c r="S219" s="20"/>
      <c r="T219" s="20"/>
      <c r="U219" s="20"/>
      <c r="V219" s="20"/>
      <c r="W219" s="20"/>
    </row>
    <row r="220" spans="1:23" ht="42.75" customHeight="1" x14ac:dyDescent="0.2">
      <c r="A220" s="45" t="s">
        <v>226</v>
      </c>
      <c r="B220" s="99"/>
      <c r="C220" s="99"/>
      <c r="D220" s="99"/>
      <c r="E220" s="99"/>
      <c r="F220" s="99"/>
      <c r="G220" s="99"/>
      <c r="H220" s="99"/>
      <c r="I220" s="99"/>
      <c r="J220" s="124"/>
      <c r="K220" s="124"/>
      <c r="L220" s="124"/>
      <c r="M220" s="94">
        <v>162290096</v>
      </c>
      <c r="N220" s="94">
        <v>0</v>
      </c>
      <c r="O220" s="218">
        <v>162290096</v>
      </c>
      <c r="P220" s="221">
        <f t="shared" si="95"/>
        <v>100</v>
      </c>
      <c r="Q220" s="20"/>
      <c r="R220" s="20"/>
      <c r="S220" s="20"/>
      <c r="T220" s="20"/>
      <c r="U220" s="20"/>
      <c r="V220" s="20"/>
      <c r="W220" s="20"/>
    </row>
    <row r="221" spans="1:23" ht="42.75" customHeight="1" x14ac:dyDescent="0.2">
      <c r="A221" s="49" t="s">
        <v>49</v>
      </c>
      <c r="B221" s="95" t="s">
        <v>47</v>
      </c>
      <c r="C221" s="95" t="s">
        <v>11</v>
      </c>
      <c r="D221" s="95"/>
      <c r="E221" s="95" t="s">
        <v>0</v>
      </c>
      <c r="F221" s="95" t="s">
        <v>0</v>
      </c>
      <c r="G221" s="95" t="s">
        <v>0</v>
      </c>
      <c r="H221" s="95"/>
      <c r="I221" s="95"/>
      <c r="J221" s="188"/>
      <c r="K221" s="188"/>
      <c r="L221" s="124"/>
      <c r="M221" s="213">
        <f>M223</f>
        <v>17499120.859999999</v>
      </c>
      <c r="N221" s="213">
        <f t="shared" ref="N221:O221" si="101">N223</f>
        <v>8895502.8599999994</v>
      </c>
      <c r="O221" s="213">
        <f t="shared" si="101"/>
        <v>17479120.859999999</v>
      </c>
      <c r="P221" s="220">
        <f t="shared" si="95"/>
        <v>99.885708544103409</v>
      </c>
      <c r="Q221" s="20"/>
      <c r="R221" s="20"/>
      <c r="S221" s="20"/>
      <c r="T221" s="20"/>
      <c r="U221" s="20"/>
      <c r="V221" s="20"/>
      <c r="W221" s="20"/>
    </row>
    <row r="222" spans="1:23" ht="63.75" customHeight="1" x14ac:dyDescent="0.2">
      <c r="A222" s="90" t="s">
        <v>181</v>
      </c>
      <c r="B222" s="148" t="s">
        <v>47</v>
      </c>
      <c r="C222" s="148" t="s">
        <v>11</v>
      </c>
      <c r="D222" s="148">
        <v>14</v>
      </c>
      <c r="E222" s="95"/>
      <c r="F222" s="95"/>
      <c r="G222" s="95"/>
      <c r="H222" s="95"/>
      <c r="I222" s="95"/>
      <c r="J222" s="188"/>
      <c r="K222" s="188"/>
      <c r="L222" s="124"/>
      <c r="M222" s="213">
        <f>M223</f>
        <v>17499120.859999999</v>
      </c>
      <c r="N222" s="213">
        <f t="shared" ref="N222:O225" si="102">N223</f>
        <v>8895502.8599999994</v>
      </c>
      <c r="O222" s="213">
        <f t="shared" si="102"/>
        <v>17479120.859999999</v>
      </c>
      <c r="P222" s="220">
        <f t="shared" si="95"/>
        <v>99.885708544103409</v>
      </c>
      <c r="Q222" s="20"/>
      <c r="R222" s="20"/>
      <c r="S222" s="20"/>
      <c r="T222" s="20"/>
      <c r="U222" s="20"/>
      <c r="V222" s="20"/>
      <c r="W222" s="20"/>
    </row>
    <row r="223" spans="1:23" x14ac:dyDescent="0.2">
      <c r="A223" s="49" t="s">
        <v>24</v>
      </c>
      <c r="B223" s="95" t="s">
        <v>47</v>
      </c>
      <c r="C223" s="95" t="s">
        <v>11</v>
      </c>
      <c r="D223" s="148">
        <v>14</v>
      </c>
      <c r="E223" s="95" t="s">
        <v>32</v>
      </c>
      <c r="F223" s="95" t="s">
        <v>18</v>
      </c>
      <c r="G223" s="95" t="s">
        <v>0</v>
      </c>
      <c r="H223" s="95"/>
      <c r="I223" s="95"/>
      <c r="J223" s="188"/>
      <c r="K223" s="188"/>
      <c r="L223" s="124"/>
      <c r="M223" s="213">
        <f>M224</f>
        <v>17499120.859999999</v>
      </c>
      <c r="N223" s="213">
        <f t="shared" si="102"/>
        <v>8895502.8599999994</v>
      </c>
      <c r="O223" s="213">
        <f t="shared" si="102"/>
        <v>17479120.859999999</v>
      </c>
      <c r="P223" s="220">
        <f t="shared" si="95"/>
        <v>99.885708544103409</v>
      </c>
      <c r="Q223" s="20"/>
      <c r="R223" s="20"/>
      <c r="S223" s="20"/>
      <c r="T223" s="20"/>
      <c r="U223" s="20"/>
      <c r="V223" s="20"/>
      <c r="W223" s="20"/>
    </row>
    <row r="224" spans="1:23" x14ac:dyDescent="0.2">
      <c r="A224" s="49" t="s">
        <v>26</v>
      </c>
      <c r="B224" s="95" t="s">
        <v>47</v>
      </c>
      <c r="C224" s="95" t="s">
        <v>11</v>
      </c>
      <c r="D224" s="148">
        <v>14</v>
      </c>
      <c r="E224" s="95" t="s">
        <v>32</v>
      </c>
      <c r="F224" s="95" t="s">
        <v>18</v>
      </c>
      <c r="G224" s="95" t="s">
        <v>16</v>
      </c>
      <c r="H224" s="95"/>
      <c r="I224" s="95"/>
      <c r="J224" s="188"/>
      <c r="K224" s="188"/>
      <c r="L224" s="124"/>
      <c r="M224" s="213">
        <f>M225</f>
        <v>17499120.859999999</v>
      </c>
      <c r="N224" s="213">
        <f t="shared" si="102"/>
        <v>8895502.8599999994</v>
      </c>
      <c r="O224" s="213">
        <f t="shared" si="102"/>
        <v>17479120.859999999</v>
      </c>
      <c r="P224" s="220">
        <f t="shared" si="95"/>
        <v>99.885708544103409</v>
      </c>
      <c r="Q224" s="20"/>
      <c r="R224" s="20"/>
      <c r="S224" s="20"/>
      <c r="T224" s="20"/>
      <c r="U224" s="20"/>
      <c r="V224" s="20"/>
      <c r="W224" s="20"/>
    </row>
    <row r="225" spans="1:23" ht="40.5" customHeight="1" x14ac:dyDescent="0.2">
      <c r="A225" s="49" t="s">
        <v>84</v>
      </c>
      <c r="B225" s="95" t="s">
        <v>47</v>
      </c>
      <c r="C225" s="95" t="s">
        <v>11</v>
      </c>
      <c r="D225" s="148">
        <v>14</v>
      </c>
      <c r="E225" s="95" t="s">
        <v>32</v>
      </c>
      <c r="F225" s="95" t="s">
        <v>18</v>
      </c>
      <c r="G225" s="95" t="s">
        <v>16</v>
      </c>
      <c r="H225" s="95">
        <v>11270</v>
      </c>
      <c r="I225" s="95" t="s">
        <v>0</v>
      </c>
      <c r="J225" s="188"/>
      <c r="K225" s="188"/>
      <c r="L225" s="124"/>
      <c r="M225" s="213">
        <f>M226</f>
        <v>17499120.859999999</v>
      </c>
      <c r="N225" s="213">
        <f t="shared" si="102"/>
        <v>8895502.8599999994</v>
      </c>
      <c r="O225" s="213">
        <f t="shared" si="102"/>
        <v>17479120.859999999</v>
      </c>
      <c r="P225" s="220">
        <f t="shared" si="95"/>
        <v>99.885708544103409</v>
      </c>
      <c r="Q225" s="20"/>
      <c r="R225" s="20"/>
      <c r="S225" s="20"/>
      <c r="T225" s="20"/>
      <c r="U225" s="20"/>
      <c r="V225" s="20"/>
      <c r="W225" s="20"/>
    </row>
    <row r="226" spans="1:23" ht="48.75" customHeight="1" x14ac:dyDescent="0.2">
      <c r="A226" s="49" t="s">
        <v>80</v>
      </c>
      <c r="B226" s="95" t="s">
        <v>47</v>
      </c>
      <c r="C226" s="95" t="s">
        <v>11</v>
      </c>
      <c r="D226" s="148">
        <v>14</v>
      </c>
      <c r="E226" s="95" t="s">
        <v>32</v>
      </c>
      <c r="F226" s="95" t="s">
        <v>18</v>
      </c>
      <c r="G226" s="95" t="s">
        <v>16</v>
      </c>
      <c r="H226" s="95">
        <v>11270</v>
      </c>
      <c r="I226" s="95" t="s">
        <v>81</v>
      </c>
      <c r="J226" s="188"/>
      <c r="K226" s="188"/>
      <c r="L226" s="124"/>
      <c r="M226" s="213">
        <f>M231+M243+M256+M227</f>
        <v>17499120.859999999</v>
      </c>
      <c r="N226" s="213">
        <f t="shared" ref="N226:O226" si="103">N231+N243+N256+N227</f>
        <v>8895502.8599999994</v>
      </c>
      <c r="O226" s="213">
        <f t="shared" si="103"/>
        <v>17479120.859999999</v>
      </c>
      <c r="P226" s="220">
        <f t="shared" si="95"/>
        <v>99.885708544103409</v>
      </c>
      <c r="Q226" s="20"/>
      <c r="R226" s="20"/>
      <c r="S226" s="20"/>
      <c r="T226" s="20"/>
      <c r="U226" s="20"/>
      <c r="V226" s="20"/>
      <c r="W226" s="20"/>
    </row>
    <row r="227" spans="1:23" ht="27" customHeight="1" x14ac:dyDescent="0.2">
      <c r="A227" s="163" t="s">
        <v>301</v>
      </c>
      <c r="B227" s="95" t="s">
        <v>47</v>
      </c>
      <c r="C227" s="95" t="s">
        <v>11</v>
      </c>
      <c r="D227" s="148">
        <v>14</v>
      </c>
      <c r="E227" s="95" t="s">
        <v>32</v>
      </c>
      <c r="F227" s="95" t="s">
        <v>18</v>
      </c>
      <c r="G227" s="95" t="s">
        <v>16</v>
      </c>
      <c r="H227" s="95">
        <v>11270</v>
      </c>
      <c r="I227" s="95" t="s">
        <v>81</v>
      </c>
      <c r="J227" s="188"/>
      <c r="K227" s="188"/>
      <c r="L227" s="124"/>
      <c r="M227" s="213">
        <f>M228</f>
        <v>4382432</v>
      </c>
      <c r="N227" s="213">
        <f t="shared" ref="N227:O228" si="104">N228</f>
        <v>0</v>
      </c>
      <c r="O227" s="213">
        <f t="shared" si="104"/>
        <v>4382432</v>
      </c>
      <c r="P227" s="220">
        <f t="shared" si="95"/>
        <v>100</v>
      </c>
      <c r="Q227" s="20"/>
      <c r="R227" s="20"/>
      <c r="S227" s="20"/>
      <c r="T227" s="20"/>
      <c r="U227" s="20"/>
      <c r="V227" s="20"/>
      <c r="W227" s="20"/>
    </row>
    <row r="228" spans="1:23" ht="18" customHeight="1" x14ac:dyDescent="0.2">
      <c r="A228" s="163" t="s">
        <v>66</v>
      </c>
      <c r="B228" s="95"/>
      <c r="C228" s="95"/>
      <c r="D228" s="148"/>
      <c r="E228" s="95"/>
      <c r="F228" s="95"/>
      <c r="G228" s="95"/>
      <c r="H228" s="95"/>
      <c r="I228" s="95"/>
      <c r="J228" s="188"/>
      <c r="K228" s="188"/>
      <c r="L228" s="124"/>
      <c r="M228" s="213">
        <f>M229</f>
        <v>4382432</v>
      </c>
      <c r="N228" s="213">
        <f t="shared" si="104"/>
        <v>0</v>
      </c>
      <c r="O228" s="213">
        <f t="shared" si="104"/>
        <v>4382432</v>
      </c>
      <c r="P228" s="220">
        <f t="shared" si="95"/>
        <v>100</v>
      </c>
      <c r="Q228" s="20"/>
      <c r="R228" s="20"/>
      <c r="S228" s="20"/>
      <c r="T228" s="20"/>
      <c r="U228" s="20"/>
      <c r="V228" s="20"/>
      <c r="W228" s="20"/>
    </row>
    <row r="229" spans="1:23" ht="38.25" customHeight="1" x14ac:dyDescent="0.2">
      <c r="A229" s="46" t="s">
        <v>302</v>
      </c>
      <c r="B229" s="99" t="s">
        <v>47</v>
      </c>
      <c r="C229" s="99" t="s">
        <v>11</v>
      </c>
      <c r="D229" s="149">
        <v>14</v>
      </c>
      <c r="E229" s="99" t="s">
        <v>32</v>
      </c>
      <c r="F229" s="99" t="s">
        <v>18</v>
      </c>
      <c r="G229" s="99" t="s">
        <v>16</v>
      </c>
      <c r="H229" s="99">
        <v>11270</v>
      </c>
      <c r="I229" s="99" t="s">
        <v>81</v>
      </c>
      <c r="J229" s="153" t="s">
        <v>303</v>
      </c>
      <c r="K229" s="124">
        <v>3000</v>
      </c>
      <c r="L229" s="124">
        <v>2016</v>
      </c>
      <c r="M229" s="89">
        <v>4382432</v>
      </c>
      <c r="N229" s="94">
        <v>0</v>
      </c>
      <c r="O229" s="218">
        <v>4382432</v>
      </c>
      <c r="P229" s="221">
        <f t="shared" si="95"/>
        <v>100</v>
      </c>
      <c r="Q229" s="20"/>
      <c r="R229" s="20"/>
      <c r="S229" s="20"/>
      <c r="T229" s="20"/>
      <c r="U229" s="20"/>
      <c r="V229" s="20"/>
      <c r="W229" s="20"/>
    </row>
    <row r="230" spans="1:23" ht="38.25" customHeight="1" x14ac:dyDescent="0.2">
      <c r="A230" s="167" t="s">
        <v>191</v>
      </c>
      <c r="B230" s="95"/>
      <c r="C230" s="95"/>
      <c r="D230" s="148"/>
      <c r="E230" s="95"/>
      <c r="F230" s="95"/>
      <c r="G230" s="95"/>
      <c r="H230" s="95"/>
      <c r="I230" s="95"/>
      <c r="J230" s="188"/>
      <c r="K230" s="188"/>
      <c r="L230" s="124"/>
      <c r="M230" s="89">
        <v>4382432</v>
      </c>
      <c r="N230" s="94">
        <v>0</v>
      </c>
      <c r="O230" s="218">
        <v>4382432</v>
      </c>
      <c r="P230" s="221">
        <f t="shared" si="95"/>
        <v>100</v>
      </c>
      <c r="Q230" s="20"/>
      <c r="R230" s="20"/>
      <c r="S230" s="20"/>
      <c r="T230" s="20"/>
      <c r="U230" s="20"/>
      <c r="V230" s="20"/>
      <c r="W230" s="20"/>
    </row>
    <row r="231" spans="1:23" ht="37.5" customHeight="1" x14ac:dyDescent="0.2">
      <c r="A231" s="163" t="s">
        <v>89</v>
      </c>
      <c r="B231" s="95" t="s">
        <v>47</v>
      </c>
      <c r="C231" s="95" t="s">
        <v>11</v>
      </c>
      <c r="D231" s="148">
        <v>14</v>
      </c>
      <c r="E231" s="95" t="s">
        <v>32</v>
      </c>
      <c r="F231" s="95" t="s">
        <v>18</v>
      </c>
      <c r="G231" s="95" t="s">
        <v>16</v>
      </c>
      <c r="H231" s="95">
        <v>11270</v>
      </c>
      <c r="I231" s="95" t="s">
        <v>81</v>
      </c>
      <c r="J231" s="124"/>
      <c r="K231" s="124"/>
      <c r="L231" s="124"/>
      <c r="M231" s="213">
        <f>M232+M235+M240+M237</f>
        <v>5620160.8600000003</v>
      </c>
      <c r="N231" s="213">
        <f t="shared" ref="N231:O231" si="105">N232+N235+N240+N237</f>
        <v>5523455.8600000003</v>
      </c>
      <c r="O231" s="213">
        <f t="shared" si="105"/>
        <v>5620160.8600000003</v>
      </c>
      <c r="P231" s="220">
        <f t="shared" si="95"/>
        <v>100</v>
      </c>
      <c r="Q231" s="20"/>
      <c r="R231" s="20"/>
      <c r="S231" s="20"/>
      <c r="T231" s="20"/>
      <c r="U231" s="20"/>
      <c r="V231" s="20"/>
      <c r="W231" s="20"/>
    </row>
    <row r="232" spans="1:23" x14ac:dyDescent="0.2">
      <c r="A232" s="163" t="s">
        <v>233</v>
      </c>
      <c r="B232" s="95"/>
      <c r="C232" s="95"/>
      <c r="D232" s="148"/>
      <c r="E232" s="95"/>
      <c r="F232" s="95"/>
      <c r="G232" s="95"/>
      <c r="H232" s="95"/>
      <c r="I232" s="95"/>
      <c r="J232" s="124"/>
      <c r="K232" s="124"/>
      <c r="L232" s="124"/>
      <c r="M232" s="213">
        <f>M233+M234</f>
        <v>123725.76000000001</v>
      </c>
      <c r="N232" s="213">
        <f t="shared" ref="N232:O232" si="106">N233+N234</f>
        <v>123725.76000000001</v>
      </c>
      <c r="O232" s="213">
        <f t="shared" si="106"/>
        <v>123725.76000000001</v>
      </c>
      <c r="P232" s="220">
        <f t="shared" si="95"/>
        <v>100</v>
      </c>
      <c r="Q232" s="20"/>
      <c r="R232" s="20"/>
      <c r="S232" s="20"/>
      <c r="T232" s="20"/>
      <c r="U232" s="20"/>
      <c r="V232" s="20"/>
      <c r="W232" s="20"/>
    </row>
    <row r="233" spans="1:23" x14ac:dyDescent="0.2">
      <c r="A233" s="151" t="s">
        <v>232</v>
      </c>
      <c r="B233" s="99">
        <v>19</v>
      </c>
      <c r="C233" s="99">
        <v>2</v>
      </c>
      <c r="D233" s="99">
        <v>14</v>
      </c>
      <c r="E233" s="99">
        <v>819</v>
      </c>
      <c r="F233" s="150" t="s">
        <v>18</v>
      </c>
      <c r="G233" s="150" t="s">
        <v>16</v>
      </c>
      <c r="H233" s="99">
        <v>11270</v>
      </c>
      <c r="I233" s="99">
        <v>522</v>
      </c>
      <c r="J233" s="124" t="s">
        <v>68</v>
      </c>
      <c r="K233" s="124">
        <v>0.6</v>
      </c>
      <c r="L233" s="124">
        <v>2016</v>
      </c>
      <c r="M233" s="89">
        <v>41225.760000000002</v>
      </c>
      <c r="N233" s="94">
        <f>O233</f>
        <v>41225.760000000002</v>
      </c>
      <c r="O233" s="207">
        <v>41225.760000000002</v>
      </c>
      <c r="P233" s="221">
        <f t="shared" si="95"/>
        <v>100</v>
      </c>
      <c r="Q233" s="20"/>
      <c r="R233" s="20"/>
      <c r="S233" s="20"/>
      <c r="T233" s="20"/>
      <c r="U233" s="20"/>
      <c r="V233" s="20"/>
      <c r="W233" s="20"/>
    </row>
    <row r="234" spans="1:23" ht="23.25" customHeight="1" x14ac:dyDescent="0.2">
      <c r="A234" s="151" t="s">
        <v>294</v>
      </c>
      <c r="B234" s="99">
        <v>19</v>
      </c>
      <c r="C234" s="99">
        <v>2</v>
      </c>
      <c r="D234" s="99">
        <v>14</v>
      </c>
      <c r="E234" s="99">
        <v>819</v>
      </c>
      <c r="F234" s="150" t="s">
        <v>18</v>
      </c>
      <c r="G234" s="150" t="s">
        <v>16</v>
      </c>
      <c r="H234" s="99">
        <v>11270</v>
      </c>
      <c r="I234" s="99">
        <v>522</v>
      </c>
      <c r="J234" s="124" t="s">
        <v>68</v>
      </c>
      <c r="K234" s="124">
        <v>0.5</v>
      </c>
      <c r="L234" s="124">
        <v>2016</v>
      </c>
      <c r="M234" s="89">
        <v>82500</v>
      </c>
      <c r="N234" s="94">
        <f>O234</f>
        <v>82500</v>
      </c>
      <c r="O234" s="207">
        <v>82500</v>
      </c>
      <c r="P234" s="221">
        <f t="shared" si="95"/>
        <v>100</v>
      </c>
      <c r="Q234" s="20"/>
      <c r="R234" s="20"/>
      <c r="S234" s="20"/>
      <c r="T234" s="20"/>
      <c r="U234" s="20"/>
      <c r="V234" s="20"/>
      <c r="W234" s="20"/>
    </row>
    <row r="235" spans="1:23" x14ac:dyDescent="0.2">
      <c r="A235" s="163" t="s">
        <v>164</v>
      </c>
      <c r="B235" s="99"/>
      <c r="C235" s="99"/>
      <c r="D235" s="99"/>
      <c r="E235" s="99"/>
      <c r="F235" s="150"/>
      <c r="G235" s="150"/>
      <c r="H235" s="99"/>
      <c r="I235" s="99"/>
      <c r="J235" s="124"/>
      <c r="K235" s="124"/>
      <c r="L235" s="124"/>
      <c r="M235" s="210">
        <f>M236</f>
        <v>2848939.85</v>
      </c>
      <c r="N235" s="210">
        <f t="shared" ref="N235:O235" si="107">N236</f>
        <v>2848939.85</v>
      </c>
      <c r="O235" s="210">
        <f t="shared" si="107"/>
        <v>2848939.85</v>
      </c>
      <c r="P235" s="220">
        <f t="shared" si="95"/>
        <v>100</v>
      </c>
      <c r="Q235" s="20"/>
      <c r="R235" s="20"/>
      <c r="S235" s="20"/>
      <c r="T235" s="20"/>
      <c r="U235" s="20"/>
      <c r="V235" s="20"/>
      <c r="W235" s="20"/>
    </row>
    <row r="236" spans="1:23" x14ac:dyDescent="0.2">
      <c r="A236" s="151" t="s">
        <v>165</v>
      </c>
      <c r="B236" s="99">
        <v>19</v>
      </c>
      <c r="C236" s="99">
        <v>2</v>
      </c>
      <c r="D236" s="99">
        <v>14</v>
      </c>
      <c r="E236" s="99">
        <v>819</v>
      </c>
      <c r="F236" s="150" t="s">
        <v>18</v>
      </c>
      <c r="G236" s="150" t="s">
        <v>16</v>
      </c>
      <c r="H236" s="99">
        <v>11270</v>
      </c>
      <c r="I236" s="99">
        <v>522</v>
      </c>
      <c r="J236" s="124" t="s">
        <v>68</v>
      </c>
      <c r="K236" s="124">
        <v>4.968</v>
      </c>
      <c r="L236" s="124">
        <v>2016</v>
      </c>
      <c r="M236" s="94">
        <f>3378563.85-529624</f>
        <v>2848939.85</v>
      </c>
      <c r="N236" s="94">
        <f>O236</f>
        <v>2848939.85</v>
      </c>
      <c r="O236" s="219">
        <v>2848939.85</v>
      </c>
      <c r="P236" s="221">
        <f t="shared" si="95"/>
        <v>100</v>
      </c>
      <c r="Q236" s="20"/>
      <c r="R236" s="20"/>
      <c r="S236" s="20"/>
      <c r="T236" s="20"/>
      <c r="U236" s="20"/>
      <c r="V236" s="20"/>
      <c r="W236" s="20"/>
    </row>
    <row r="237" spans="1:23" s="20" customFormat="1" x14ac:dyDescent="0.2">
      <c r="A237" s="171" t="s">
        <v>82</v>
      </c>
      <c r="B237" s="102"/>
      <c r="C237" s="102"/>
      <c r="D237" s="102"/>
      <c r="E237" s="102"/>
      <c r="F237" s="152"/>
      <c r="G237" s="152"/>
      <c r="H237" s="102"/>
      <c r="I237" s="102"/>
      <c r="J237" s="159"/>
      <c r="K237" s="159"/>
      <c r="L237" s="159"/>
      <c r="M237" s="210">
        <f>M238</f>
        <v>96705</v>
      </c>
      <c r="N237" s="210">
        <f t="shared" ref="N237:O237" si="108">N238</f>
        <v>0</v>
      </c>
      <c r="O237" s="210">
        <f t="shared" si="108"/>
        <v>96705</v>
      </c>
      <c r="P237" s="220">
        <f t="shared" si="95"/>
        <v>100</v>
      </c>
    </row>
    <row r="238" spans="1:23" s="20" customFormat="1" ht="25.5" customHeight="1" x14ac:dyDescent="0.2">
      <c r="A238" s="151" t="s">
        <v>295</v>
      </c>
      <c r="B238" s="102">
        <v>19</v>
      </c>
      <c r="C238" s="102">
        <v>2</v>
      </c>
      <c r="D238" s="102">
        <v>14</v>
      </c>
      <c r="E238" s="102">
        <v>819</v>
      </c>
      <c r="F238" s="152" t="s">
        <v>18</v>
      </c>
      <c r="G238" s="152" t="s">
        <v>16</v>
      </c>
      <c r="H238" s="102">
        <v>11270</v>
      </c>
      <c r="I238" s="102">
        <v>522</v>
      </c>
      <c r="J238" s="159" t="s">
        <v>68</v>
      </c>
      <c r="K238" s="159">
        <v>1.1950000000000001</v>
      </c>
      <c r="L238" s="159"/>
      <c r="M238" s="94">
        <v>96705</v>
      </c>
      <c r="N238" s="94">
        <v>0</v>
      </c>
      <c r="O238" s="94">
        <v>96705</v>
      </c>
      <c r="P238" s="221">
        <f t="shared" si="95"/>
        <v>100</v>
      </c>
    </row>
    <row r="239" spans="1:23" s="20" customFormat="1" ht="35.25" customHeight="1" x14ac:dyDescent="0.2">
      <c r="A239" s="167" t="s">
        <v>191</v>
      </c>
      <c r="B239" s="102"/>
      <c r="C239" s="102"/>
      <c r="D239" s="102"/>
      <c r="E239" s="102"/>
      <c r="F239" s="152"/>
      <c r="G239" s="152"/>
      <c r="H239" s="102"/>
      <c r="I239" s="102"/>
      <c r="J239" s="159"/>
      <c r="K239" s="159"/>
      <c r="L239" s="159"/>
      <c r="M239" s="94">
        <v>96705</v>
      </c>
      <c r="N239" s="94">
        <v>0</v>
      </c>
      <c r="O239" s="94">
        <v>96705</v>
      </c>
      <c r="P239" s="221">
        <f t="shared" si="95"/>
        <v>100</v>
      </c>
    </row>
    <row r="240" spans="1:23" x14ac:dyDescent="0.2">
      <c r="A240" s="163" t="s">
        <v>161</v>
      </c>
      <c r="B240" s="99"/>
      <c r="C240" s="99"/>
      <c r="D240" s="99"/>
      <c r="E240" s="99"/>
      <c r="F240" s="150"/>
      <c r="G240" s="150"/>
      <c r="H240" s="99"/>
      <c r="I240" s="99"/>
      <c r="J240" s="124"/>
      <c r="K240" s="124"/>
      <c r="L240" s="124"/>
      <c r="M240" s="210">
        <f>M241+M242</f>
        <v>2550790.25</v>
      </c>
      <c r="N240" s="210">
        <f t="shared" ref="N240:O240" si="109">N241+N242</f>
        <v>2550790.25</v>
      </c>
      <c r="O240" s="210">
        <f t="shared" si="109"/>
        <v>2550790.25</v>
      </c>
      <c r="P240" s="220">
        <f t="shared" si="95"/>
        <v>100</v>
      </c>
      <c r="Q240" s="20"/>
      <c r="R240" s="20"/>
      <c r="S240" s="20"/>
      <c r="T240" s="20"/>
      <c r="U240" s="20"/>
      <c r="V240" s="20"/>
      <c r="W240" s="20"/>
    </row>
    <row r="241" spans="1:23" x14ac:dyDescent="0.2">
      <c r="A241" s="151" t="s">
        <v>162</v>
      </c>
      <c r="B241" s="99">
        <v>19</v>
      </c>
      <c r="C241" s="99">
        <v>2</v>
      </c>
      <c r="D241" s="99">
        <v>14</v>
      </c>
      <c r="E241" s="99">
        <v>819</v>
      </c>
      <c r="F241" s="150" t="s">
        <v>18</v>
      </c>
      <c r="G241" s="150" t="s">
        <v>16</v>
      </c>
      <c r="H241" s="99">
        <v>11270</v>
      </c>
      <c r="I241" s="99">
        <v>522</v>
      </c>
      <c r="J241" s="124" t="s">
        <v>68</v>
      </c>
      <c r="K241" s="124">
        <v>2.8220000000000001</v>
      </c>
      <c r="L241" s="124">
        <v>2016</v>
      </c>
      <c r="M241" s="94">
        <f>1765475.25-138626</f>
        <v>1626849.25</v>
      </c>
      <c r="N241" s="94">
        <f>O241</f>
        <v>1626849.25</v>
      </c>
      <c r="O241" s="219">
        <v>1626849.25</v>
      </c>
      <c r="P241" s="221">
        <f t="shared" si="95"/>
        <v>100</v>
      </c>
      <c r="Q241" s="20"/>
      <c r="R241" s="20"/>
      <c r="S241" s="20"/>
      <c r="T241" s="20"/>
      <c r="U241" s="20"/>
      <c r="V241" s="20"/>
      <c r="W241" s="20"/>
    </row>
    <row r="242" spans="1:23" x14ac:dyDescent="0.2">
      <c r="A242" s="151" t="s">
        <v>163</v>
      </c>
      <c r="B242" s="99">
        <v>19</v>
      </c>
      <c r="C242" s="99">
        <v>2</v>
      </c>
      <c r="D242" s="99">
        <v>14</v>
      </c>
      <c r="E242" s="99">
        <v>819</v>
      </c>
      <c r="F242" s="150" t="s">
        <v>18</v>
      </c>
      <c r="G242" s="150" t="s">
        <v>16</v>
      </c>
      <c r="H242" s="99">
        <v>11270</v>
      </c>
      <c r="I242" s="99">
        <v>522</v>
      </c>
      <c r="J242" s="124" t="s">
        <v>68</v>
      </c>
      <c r="K242" s="124">
        <v>1.4630000000000001</v>
      </c>
      <c r="L242" s="124">
        <v>2016</v>
      </c>
      <c r="M242" s="94">
        <f>945000-21059</f>
        <v>923941</v>
      </c>
      <c r="N242" s="94">
        <f>O242</f>
        <v>923941</v>
      </c>
      <c r="O242" s="219">
        <v>923941</v>
      </c>
      <c r="P242" s="221">
        <f t="shared" si="95"/>
        <v>100</v>
      </c>
      <c r="Q242" s="20"/>
      <c r="R242" s="20"/>
      <c r="S242" s="20"/>
      <c r="T242" s="20"/>
      <c r="U242" s="20"/>
      <c r="V242" s="20"/>
      <c r="W242" s="20"/>
    </row>
    <row r="243" spans="1:23" ht="39.75" customHeight="1" x14ac:dyDescent="0.2">
      <c r="A243" s="163" t="s">
        <v>90</v>
      </c>
      <c r="B243" s="95" t="s">
        <v>47</v>
      </c>
      <c r="C243" s="95" t="s">
        <v>11</v>
      </c>
      <c r="D243" s="95">
        <v>14</v>
      </c>
      <c r="E243" s="95" t="s">
        <v>32</v>
      </c>
      <c r="F243" s="95" t="s">
        <v>18</v>
      </c>
      <c r="G243" s="95" t="s">
        <v>16</v>
      </c>
      <c r="H243" s="95">
        <v>11270</v>
      </c>
      <c r="I243" s="95" t="s">
        <v>81</v>
      </c>
      <c r="J243" s="124"/>
      <c r="K243" s="124"/>
      <c r="L243" s="124"/>
      <c r="M243" s="216">
        <f>M250+M248+M253+M244</f>
        <v>6781630</v>
      </c>
      <c r="N243" s="216">
        <f t="shared" ref="N243:O243" si="110">N250+N248+N253+N244</f>
        <v>2832407</v>
      </c>
      <c r="O243" s="216">
        <f t="shared" si="110"/>
        <v>6781630</v>
      </c>
      <c r="P243" s="220">
        <f t="shared" si="95"/>
        <v>100</v>
      </c>
      <c r="Q243" s="20"/>
      <c r="R243" s="20"/>
      <c r="S243" s="20"/>
      <c r="T243" s="20"/>
      <c r="U243" s="20"/>
      <c r="V243" s="20"/>
      <c r="W243" s="20"/>
    </row>
    <row r="244" spans="1:23" ht="18" customHeight="1" x14ac:dyDescent="0.2">
      <c r="A244" s="163" t="s">
        <v>233</v>
      </c>
      <c r="B244" s="95"/>
      <c r="C244" s="95"/>
      <c r="D244" s="95"/>
      <c r="E244" s="95"/>
      <c r="F244" s="95"/>
      <c r="G244" s="95"/>
      <c r="H244" s="95"/>
      <c r="I244" s="95"/>
      <c r="J244" s="124"/>
      <c r="K244" s="124"/>
      <c r="L244" s="124"/>
      <c r="M244" s="216">
        <f>M245</f>
        <v>200000</v>
      </c>
      <c r="N244" s="216">
        <f t="shared" ref="N244:O244" si="111">N245</f>
        <v>0</v>
      </c>
      <c r="O244" s="216">
        <f t="shared" si="111"/>
        <v>200000</v>
      </c>
      <c r="P244" s="220">
        <f t="shared" si="95"/>
        <v>100</v>
      </c>
      <c r="Q244" s="20"/>
      <c r="R244" s="20"/>
      <c r="S244" s="20"/>
      <c r="T244" s="20"/>
      <c r="U244" s="20"/>
      <c r="V244" s="20"/>
      <c r="W244" s="20"/>
    </row>
    <row r="245" spans="1:23" ht="27" customHeight="1" x14ac:dyDescent="0.2">
      <c r="A245" s="189" t="s">
        <v>252</v>
      </c>
      <c r="B245" s="102" t="s">
        <v>47</v>
      </c>
      <c r="C245" s="102" t="s">
        <v>11</v>
      </c>
      <c r="D245" s="102">
        <v>14</v>
      </c>
      <c r="E245" s="102" t="s">
        <v>32</v>
      </c>
      <c r="F245" s="102" t="s">
        <v>18</v>
      </c>
      <c r="G245" s="102" t="s">
        <v>16</v>
      </c>
      <c r="H245" s="102">
        <v>11270</v>
      </c>
      <c r="I245" s="102" t="s">
        <v>81</v>
      </c>
      <c r="J245" s="124"/>
      <c r="K245" s="124"/>
      <c r="L245" s="124"/>
      <c r="M245" s="93">
        <v>200000</v>
      </c>
      <c r="N245" s="94">
        <v>0</v>
      </c>
      <c r="O245" s="93">
        <v>200000</v>
      </c>
      <c r="P245" s="221">
        <f t="shared" si="95"/>
        <v>100</v>
      </c>
      <c r="Q245" s="20"/>
      <c r="R245" s="20"/>
      <c r="S245" s="20"/>
      <c r="T245" s="20"/>
      <c r="U245" s="20"/>
      <c r="V245" s="20"/>
      <c r="W245" s="20"/>
    </row>
    <row r="246" spans="1:23" ht="36.75" customHeight="1" x14ac:dyDescent="0.2">
      <c r="A246" s="190" t="s">
        <v>191</v>
      </c>
      <c r="B246" s="95"/>
      <c r="C246" s="95"/>
      <c r="D246" s="95"/>
      <c r="E246" s="95"/>
      <c r="F246" s="95"/>
      <c r="G246" s="95"/>
      <c r="H246" s="95"/>
      <c r="I246" s="95"/>
      <c r="J246" s="124"/>
      <c r="K246" s="124"/>
      <c r="L246" s="124"/>
      <c r="M246" s="93">
        <v>200000</v>
      </c>
      <c r="N246" s="94">
        <v>0</v>
      </c>
      <c r="O246" s="93">
        <v>200000</v>
      </c>
      <c r="P246" s="221">
        <f t="shared" si="95"/>
        <v>100</v>
      </c>
      <c r="Q246" s="20"/>
      <c r="R246" s="20"/>
      <c r="S246" s="20"/>
      <c r="T246" s="20"/>
      <c r="U246" s="20"/>
      <c r="V246" s="20"/>
      <c r="W246" s="20"/>
    </row>
    <row r="247" spans="1:23" ht="17.25" customHeight="1" x14ac:dyDescent="0.2">
      <c r="A247" s="163" t="s">
        <v>66</v>
      </c>
      <c r="B247" s="95"/>
      <c r="C247" s="95"/>
      <c r="D247" s="95"/>
      <c r="E247" s="95"/>
      <c r="F247" s="95"/>
      <c r="G247" s="95"/>
      <c r="H247" s="95"/>
      <c r="I247" s="95"/>
      <c r="J247" s="124"/>
      <c r="K247" s="124"/>
      <c r="L247" s="124"/>
      <c r="M247" s="216">
        <f>M248</f>
        <v>300000</v>
      </c>
      <c r="N247" s="216">
        <f t="shared" ref="N247:O247" si="112">N248</f>
        <v>0</v>
      </c>
      <c r="O247" s="216">
        <f t="shared" si="112"/>
        <v>300000</v>
      </c>
      <c r="P247" s="220">
        <f t="shared" si="95"/>
        <v>100</v>
      </c>
      <c r="Q247" s="20"/>
      <c r="R247" s="20"/>
      <c r="S247" s="20"/>
      <c r="T247" s="20"/>
      <c r="U247" s="20"/>
      <c r="V247" s="20"/>
      <c r="W247" s="20"/>
    </row>
    <row r="248" spans="1:23" ht="24.75" customHeight="1" x14ac:dyDescent="0.2">
      <c r="A248" s="151" t="s">
        <v>250</v>
      </c>
      <c r="B248" s="102" t="s">
        <v>47</v>
      </c>
      <c r="C248" s="102" t="s">
        <v>11</v>
      </c>
      <c r="D248" s="102">
        <v>14</v>
      </c>
      <c r="E248" s="102" t="s">
        <v>32</v>
      </c>
      <c r="F248" s="102" t="s">
        <v>18</v>
      </c>
      <c r="G248" s="102" t="s">
        <v>16</v>
      </c>
      <c r="H248" s="102">
        <v>11270</v>
      </c>
      <c r="I248" s="102" t="s">
        <v>81</v>
      </c>
      <c r="J248" s="124" t="s">
        <v>68</v>
      </c>
      <c r="K248" s="124">
        <v>0.7</v>
      </c>
      <c r="L248" s="124">
        <v>2017</v>
      </c>
      <c r="M248" s="93">
        <v>300000</v>
      </c>
      <c r="N248" s="94">
        <v>0</v>
      </c>
      <c r="O248" s="93">
        <v>300000</v>
      </c>
      <c r="P248" s="221">
        <f t="shared" si="95"/>
        <v>100</v>
      </c>
      <c r="Q248" s="20"/>
      <c r="R248" s="20"/>
      <c r="S248" s="20"/>
      <c r="T248" s="20"/>
      <c r="U248" s="20"/>
      <c r="V248" s="20"/>
      <c r="W248" s="20"/>
    </row>
    <row r="249" spans="1:23" ht="35.25" customHeight="1" x14ac:dyDescent="0.2">
      <c r="A249" s="190" t="s">
        <v>191</v>
      </c>
      <c r="B249" s="95"/>
      <c r="C249" s="95"/>
      <c r="D249" s="95"/>
      <c r="E249" s="95"/>
      <c r="F249" s="95"/>
      <c r="G249" s="95"/>
      <c r="H249" s="95"/>
      <c r="I249" s="95"/>
      <c r="J249" s="124"/>
      <c r="K249" s="124"/>
      <c r="L249" s="124"/>
      <c r="M249" s="93">
        <v>300000</v>
      </c>
      <c r="N249" s="94">
        <v>0</v>
      </c>
      <c r="O249" s="93">
        <v>300000</v>
      </c>
      <c r="P249" s="221">
        <f t="shared" si="95"/>
        <v>100</v>
      </c>
      <c r="Q249" s="20"/>
      <c r="R249" s="20"/>
      <c r="S249" s="20"/>
      <c r="T249" s="20"/>
      <c r="U249" s="20"/>
      <c r="V249" s="20"/>
      <c r="W249" s="20"/>
    </row>
    <row r="250" spans="1:23" s="20" customFormat="1" x14ac:dyDescent="0.2">
      <c r="A250" s="163" t="s">
        <v>97</v>
      </c>
      <c r="B250" s="102"/>
      <c r="C250" s="102"/>
      <c r="D250" s="102"/>
      <c r="E250" s="102"/>
      <c r="F250" s="102"/>
      <c r="G250" s="102"/>
      <c r="H250" s="102"/>
      <c r="I250" s="102"/>
      <c r="J250" s="158"/>
      <c r="K250" s="158"/>
      <c r="L250" s="159"/>
      <c r="M250" s="210">
        <f>M251</f>
        <v>5932407</v>
      </c>
      <c r="N250" s="210">
        <f t="shared" ref="N250:O250" si="113">N251</f>
        <v>2832407</v>
      </c>
      <c r="O250" s="210">
        <f t="shared" si="113"/>
        <v>5932407</v>
      </c>
      <c r="P250" s="220">
        <f t="shared" si="95"/>
        <v>100</v>
      </c>
    </row>
    <row r="251" spans="1:23" s="20" customFormat="1" x14ac:dyDescent="0.2">
      <c r="A251" s="146" t="s">
        <v>253</v>
      </c>
      <c r="B251" s="102" t="s">
        <v>47</v>
      </c>
      <c r="C251" s="102" t="s">
        <v>11</v>
      </c>
      <c r="D251" s="102">
        <v>14</v>
      </c>
      <c r="E251" s="102" t="s">
        <v>32</v>
      </c>
      <c r="F251" s="102" t="s">
        <v>18</v>
      </c>
      <c r="G251" s="102" t="s">
        <v>16</v>
      </c>
      <c r="H251" s="102">
        <v>11270</v>
      </c>
      <c r="I251" s="102" t="s">
        <v>81</v>
      </c>
      <c r="J251" s="158" t="s">
        <v>68</v>
      </c>
      <c r="K251" s="158">
        <v>5</v>
      </c>
      <c r="L251" s="159">
        <v>2016</v>
      </c>
      <c r="M251" s="94">
        <f>2381450.14+718549.86+2832407</f>
        <v>5932407</v>
      </c>
      <c r="N251" s="94">
        <f>O251-O252</f>
        <v>2832407</v>
      </c>
      <c r="O251" s="207">
        <v>5932407</v>
      </c>
      <c r="P251" s="221">
        <f t="shared" si="95"/>
        <v>100</v>
      </c>
    </row>
    <row r="252" spans="1:23" s="20" customFormat="1" ht="38.25" customHeight="1" x14ac:dyDescent="0.2">
      <c r="A252" s="190" t="s">
        <v>191</v>
      </c>
      <c r="B252" s="102"/>
      <c r="C252" s="102"/>
      <c r="D252" s="102"/>
      <c r="E252" s="102"/>
      <c r="F252" s="102"/>
      <c r="G252" s="102"/>
      <c r="H252" s="102"/>
      <c r="I252" s="102"/>
      <c r="J252" s="158"/>
      <c r="K252" s="158"/>
      <c r="L252" s="159"/>
      <c r="M252" s="94">
        <f>2381450.14+718549.86</f>
        <v>3100000</v>
      </c>
      <c r="N252" s="94">
        <v>0</v>
      </c>
      <c r="O252" s="219">
        <v>3100000</v>
      </c>
      <c r="P252" s="221">
        <f t="shared" si="95"/>
        <v>100</v>
      </c>
    </row>
    <row r="253" spans="1:23" s="20" customFormat="1" ht="16.5" customHeight="1" x14ac:dyDescent="0.2">
      <c r="A253" s="163" t="s">
        <v>67</v>
      </c>
      <c r="B253" s="102"/>
      <c r="C253" s="102"/>
      <c r="D253" s="102"/>
      <c r="E253" s="102"/>
      <c r="F253" s="102"/>
      <c r="G253" s="102"/>
      <c r="H253" s="102"/>
      <c r="I253" s="102"/>
      <c r="J253" s="158"/>
      <c r="K253" s="158"/>
      <c r="L253" s="159"/>
      <c r="M253" s="210">
        <f>M254</f>
        <v>349223</v>
      </c>
      <c r="N253" s="210">
        <f t="shared" ref="N253:O253" si="114">N254</f>
        <v>0</v>
      </c>
      <c r="O253" s="210">
        <f t="shared" si="114"/>
        <v>349223</v>
      </c>
      <c r="P253" s="220">
        <f t="shared" si="95"/>
        <v>100</v>
      </c>
    </row>
    <row r="254" spans="1:23" s="20" customFormat="1" ht="37.5" customHeight="1" x14ac:dyDescent="0.2">
      <c r="A254" s="146" t="s">
        <v>251</v>
      </c>
      <c r="B254" s="102" t="s">
        <v>47</v>
      </c>
      <c r="C254" s="102" t="s">
        <v>11</v>
      </c>
      <c r="D254" s="102">
        <v>14</v>
      </c>
      <c r="E254" s="102" t="s">
        <v>32</v>
      </c>
      <c r="F254" s="102" t="s">
        <v>18</v>
      </c>
      <c r="G254" s="102" t="s">
        <v>16</v>
      </c>
      <c r="H254" s="102">
        <v>11270</v>
      </c>
      <c r="I254" s="102" t="s">
        <v>81</v>
      </c>
      <c r="J254" s="158"/>
      <c r="K254" s="158"/>
      <c r="L254" s="159"/>
      <c r="M254" s="94">
        <v>349223</v>
      </c>
      <c r="N254" s="94">
        <v>0</v>
      </c>
      <c r="O254" s="94">
        <v>349223</v>
      </c>
      <c r="P254" s="221">
        <f t="shared" si="95"/>
        <v>100</v>
      </c>
    </row>
    <row r="255" spans="1:23" s="20" customFormat="1" ht="38.25" customHeight="1" x14ac:dyDescent="0.2">
      <c r="A255" s="190" t="s">
        <v>191</v>
      </c>
      <c r="B255" s="102"/>
      <c r="C255" s="102"/>
      <c r="D255" s="102"/>
      <c r="E255" s="102"/>
      <c r="F255" s="102"/>
      <c r="G255" s="102"/>
      <c r="H255" s="102"/>
      <c r="I255" s="102"/>
      <c r="J255" s="158"/>
      <c r="K255" s="158"/>
      <c r="L255" s="159"/>
      <c r="M255" s="94">
        <v>349223</v>
      </c>
      <c r="N255" s="94">
        <v>0</v>
      </c>
      <c r="O255" s="94">
        <v>349223</v>
      </c>
      <c r="P255" s="221">
        <f t="shared" si="95"/>
        <v>100</v>
      </c>
    </row>
    <row r="256" spans="1:23" s="20" customFormat="1" ht="38.25" customHeight="1" x14ac:dyDescent="0.2">
      <c r="A256" s="53" t="s">
        <v>209</v>
      </c>
      <c r="B256" s="95" t="s">
        <v>47</v>
      </c>
      <c r="C256" s="95" t="s">
        <v>11</v>
      </c>
      <c r="D256" s="95">
        <v>14</v>
      </c>
      <c r="E256" s="95" t="s">
        <v>32</v>
      </c>
      <c r="F256" s="95" t="s">
        <v>18</v>
      </c>
      <c r="G256" s="95" t="s">
        <v>16</v>
      </c>
      <c r="H256" s="95">
        <v>11270</v>
      </c>
      <c r="I256" s="95" t="s">
        <v>81</v>
      </c>
      <c r="J256" s="158"/>
      <c r="K256" s="158"/>
      <c r="L256" s="159"/>
      <c r="M256" s="210">
        <f>M261+M257+M259</f>
        <v>714898</v>
      </c>
      <c r="N256" s="210">
        <f t="shared" ref="N256:O256" si="115">N261+N257+N259</f>
        <v>539640</v>
      </c>
      <c r="O256" s="210">
        <f t="shared" si="115"/>
        <v>694898</v>
      </c>
      <c r="P256" s="220">
        <f t="shared" si="95"/>
        <v>97.202398104344951</v>
      </c>
    </row>
    <row r="257" spans="1:23" s="20" customFormat="1" ht="24.75" customHeight="1" x14ac:dyDescent="0.2">
      <c r="A257" s="191" t="s">
        <v>304</v>
      </c>
      <c r="B257" s="95"/>
      <c r="C257" s="95"/>
      <c r="D257" s="95"/>
      <c r="E257" s="95"/>
      <c r="F257" s="95"/>
      <c r="G257" s="95"/>
      <c r="H257" s="95"/>
      <c r="I257" s="95"/>
      <c r="J257" s="158"/>
      <c r="K257" s="158"/>
      <c r="L257" s="159"/>
      <c r="M257" s="210">
        <f>M258</f>
        <v>382640</v>
      </c>
      <c r="N257" s="210">
        <f t="shared" ref="N257:O257" si="116">N258</f>
        <v>382640</v>
      </c>
      <c r="O257" s="210">
        <f t="shared" si="116"/>
        <v>382640</v>
      </c>
      <c r="P257" s="220">
        <f t="shared" si="95"/>
        <v>100</v>
      </c>
    </row>
    <row r="258" spans="1:23" s="20" customFormat="1" ht="27.75" customHeight="1" x14ac:dyDescent="0.2">
      <c r="A258" s="46" t="s">
        <v>305</v>
      </c>
      <c r="B258" s="99" t="s">
        <v>47</v>
      </c>
      <c r="C258" s="99" t="s">
        <v>11</v>
      </c>
      <c r="D258" s="99">
        <v>14</v>
      </c>
      <c r="E258" s="99" t="s">
        <v>32</v>
      </c>
      <c r="F258" s="99" t="s">
        <v>18</v>
      </c>
      <c r="G258" s="99" t="s">
        <v>16</v>
      </c>
      <c r="H258" s="99">
        <v>11270</v>
      </c>
      <c r="I258" s="99" t="s">
        <v>81</v>
      </c>
      <c r="J258" s="158" t="s">
        <v>354</v>
      </c>
      <c r="K258" s="158">
        <v>60</v>
      </c>
      <c r="L258" s="159">
        <v>2016</v>
      </c>
      <c r="M258" s="94">
        <f>550000-167360</f>
        <v>382640</v>
      </c>
      <c r="N258" s="94">
        <f>O258</f>
        <v>382640</v>
      </c>
      <c r="O258" s="207">
        <v>382640</v>
      </c>
      <c r="P258" s="221">
        <f t="shared" si="95"/>
        <v>100</v>
      </c>
    </row>
    <row r="259" spans="1:23" s="20" customFormat="1" ht="17.25" customHeight="1" x14ac:dyDescent="0.2">
      <c r="A259" s="191" t="s">
        <v>161</v>
      </c>
      <c r="B259" s="99"/>
      <c r="C259" s="99"/>
      <c r="D259" s="99"/>
      <c r="E259" s="99"/>
      <c r="F259" s="99"/>
      <c r="G259" s="99"/>
      <c r="H259" s="99"/>
      <c r="I259" s="99"/>
      <c r="J259" s="158"/>
      <c r="K259" s="158"/>
      <c r="L259" s="159"/>
      <c r="M259" s="210">
        <f>M260</f>
        <v>177000</v>
      </c>
      <c r="N259" s="210">
        <f t="shared" ref="N259:O259" si="117">N260</f>
        <v>157000</v>
      </c>
      <c r="O259" s="210">
        <f t="shared" si="117"/>
        <v>157000</v>
      </c>
      <c r="P259" s="220">
        <f t="shared" si="95"/>
        <v>88.700564971751419</v>
      </c>
    </row>
    <row r="260" spans="1:23" s="20" customFormat="1" ht="37.5" customHeight="1" x14ac:dyDescent="0.2">
      <c r="A260" s="46" t="s">
        <v>372</v>
      </c>
      <c r="B260" s="99" t="s">
        <v>47</v>
      </c>
      <c r="C260" s="99" t="s">
        <v>11</v>
      </c>
      <c r="D260" s="99">
        <v>14</v>
      </c>
      <c r="E260" s="99" t="s">
        <v>32</v>
      </c>
      <c r="F260" s="99" t="s">
        <v>18</v>
      </c>
      <c r="G260" s="99" t="s">
        <v>16</v>
      </c>
      <c r="H260" s="99">
        <v>11270</v>
      </c>
      <c r="I260" s="99" t="s">
        <v>81</v>
      </c>
      <c r="J260" s="158" t="s">
        <v>354</v>
      </c>
      <c r="K260" s="158">
        <v>5</v>
      </c>
      <c r="L260" s="159"/>
      <c r="M260" s="94">
        <f>157000+20000</f>
        <v>177000</v>
      </c>
      <c r="N260" s="94">
        <f>O260</f>
        <v>157000</v>
      </c>
      <c r="O260" s="207">
        <v>157000</v>
      </c>
      <c r="P260" s="221">
        <f t="shared" si="95"/>
        <v>88.700564971751419</v>
      </c>
    </row>
    <row r="261" spans="1:23" s="20" customFormat="1" ht="16.5" customHeight="1" x14ac:dyDescent="0.2">
      <c r="A261" s="191" t="s">
        <v>254</v>
      </c>
      <c r="B261" s="102"/>
      <c r="C261" s="102"/>
      <c r="D261" s="102"/>
      <c r="E261" s="102"/>
      <c r="F261" s="102"/>
      <c r="G261" s="102"/>
      <c r="H261" s="102"/>
      <c r="I261" s="102"/>
      <c r="J261" s="158"/>
      <c r="K261" s="158"/>
      <c r="L261" s="159"/>
      <c r="M261" s="210">
        <f>M262</f>
        <v>155258</v>
      </c>
      <c r="N261" s="210">
        <f t="shared" ref="N261:O261" si="118">N262</f>
        <v>0</v>
      </c>
      <c r="O261" s="210">
        <f t="shared" si="118"/>
        <v>155258</v>
      </c>
      <c r="P261" s="220">
        <f t="shared" si="95"/>
        <v>100</v>
      </c>
    </row>
    <row r="262" spans="1:23" s="20" customFormat="1" ht="26.25" customHeight="1" x14ac:dyDescent="0.2">
      <c r="A262" s="192" t="s">
        <v>255</v>
      </c>
      <c r="B262" s="102" t="s">
        <v>47</v>
      </c>
      <c r="C262" s="102" t="s">
        <v>11</v>
      </c>
      <c r="D262" s="102">
        <v>14</v>
      </c>
      <c r="E262" s="102" t="s">
        <v>32</v>
      </c>
      <c r="F262" s="102" t="s">
        <v>18</v>
      </c>
      <c r="G262" s="102" t="s">
        <v>16</v>
      </c>
      <c r="H262" s="102">
        <v>11270</v>
      </c>
      <c r="I262" s="102" t="s">
        <v>81</v>
      </c>
      <c r="J262" s="158"/>
      <c r="K262" s="158"/>
      <c r="L262" s="159"/>
      <c r="M262" s="94">
        <v>155258</v>
      </c>
      <c r="N262" s="94">
        <v>0</v>
      </c>
      <c r="O262" s="94">
        <v>155258</v>
      </c>
      <c r="P262" s="221">
        <f t="shared" si="95"/>
        <v>100</v>
      </c>
    </row>
    <row r="263" spans="1:23" s="20" customFormat="1" ht="38.25" customHeight="1" x14ac:dyDescent="0.2">
      <c r="A263" s="190" t="s">
        <v>191</v>
      </c>
      <c r="B263" s="102"/>
      <c r="C263" s="102"/>
      <c r="D263" s="102"/>
      <c r="E263" s="102"/>
      <c r="F263" s="102"/>
      <c r="G263" s="102"/>
      <c r="H263" s="102"/>
      <c r="I263" s="102"/>
      <c r="J263" s="158"/>
      <c r="K263" s="158"/>
      <c r="L263" s="159"/>
      <c r="M263" s="94">
        <v>155258</v>
      </c>
      <c r="N263" s="94">
        <v>0</v>
      </c>
      <c r="O263" s="94">
        <v>155258</v>
      </c>
      <c r="P263" s="221">
        <f t="shared" si="95"/>
        <v>100</v>
      </c>
    </row>
    <row r="264" spans="1:23" ht="24" customHeight="1" x14ac:dyDescent="0.2">
      <c r="A264" s="49" t="s">
        <v>50</v>
      </c>
      <c r="B264" s="95" t="s">
        <v>47</v>
      </c>
      <c r="C264" s="95" t="s">
        <v>12</v>
      </c>
      <c r="D264" s="95"/>
      <c r="E264" s="193" t="s">
        <v>0</v>
      </c>
      <c r="F264" s="193" t="s">
        <v>0</v>
      </c>
      <c r="G264" s="193" t="s">
        <v>0</v>
      </c>
      <c r="H264" s="99"/>
      <c r="I264" s="99"/>
      <c r="J264" s="96"/>
      <c r="K264" s="96"/>
      <c r="L264" s="97"/>
      <c r="M264" s="216">
        <f>M266</f>
        <v>253750296</v>
      </c>
      <c r="N264" s="216">
        <f t="shared" ref="N264:O264" si="119">N266</f>
        <v>206091051.30000001</v>
      </c>
      <c r="O264" s="216">
        <f t="shared" si="119"/>
        <v>210000645.30000001</v>
      </c>
      <c r="P264" s="220">
        <f t="shared" si="95"/>
        <v>82.758778456754982</v>
      </c>
      <c r="Q264" s="20"/>
      <c r="R264" s="20"/>
      <c r="S264" s="20"/>
      <c r="T264" s="20"/>
      <c r="U264" s="20"/>
      <c r="V264" s="20"/>
      <c r="W264" s="20"/>
    </row>
    <row r="265" spans="1:23" ht="63.75" customHeight="1" x14ac:dyDescent="0.2">
      <c r="A265" s="90" t="s">
        <v>182</v>
      </c>
      <c r="B265" s="148" t="s">
        <v>47</v>
      </c>
      <c r="C265" s="148" t="s">
        <v>12</v>
      </c>
      <c r="D265" s="148">
        <v>21</v>
      </c>
      <c r="E265" s="193"/>
      <c r="F265" s="193"/>
      <c r="G265" s="193"/>
      <c r="H265" s="99"/>
      <c r="I265" s="99"/>
      <c r="J265" s="96"/>
      <c r="K265" s="96"/>
      <c r="L265" s="97"/>
      <c r="M265" s="216">
        <f>M266</f>
        <v>253750296</v>
      </c>
      <c r="N265" s="216">
        <f t="shared" ref="N265:O267" si="120">N266</f>
        <v>206091051.30000001</v>
      </c>
      <c r="O265" s="216">
        <f t="shared" si="120"/>
        <v>210000645.30000001</v>
      </c>
      <c r="P265" s="220">
        <f t="shared" ref="P265:P313" si="121">O265/M265*100</f>
        <v>82.758778456754982</v>
      </c>
      <c r="Q265" s="20"/>
      <c r="R265" s="20"/>
      <c r="S265" s="20"/>
      <c r="T265" s="20"/>
      <c r="U265" s="20"/>
      <c r="V265" s="20"/>
      <c r="W265" s="20"/>
    </row>
    <row r="266" spans="1:23" ht="23.25" customHeight="1" x14ac:dyDescent="0.2">
      <c r="A266" s="49" t="s">
        <v>31</v>
      </c>
      <c r="B266" s="95" t="s">
        <v>47</v>
      </c>
      <c r="C266" s="95" t="s">
        <v>12</v>
      </c>
      <c r="D266" s="148">
        <v>21</v>
      </c>
      <c r="E266" s="95" t="s">
        <v>32</v>
      </c>
      <c r="F266" s="193"/>
      <c r="G266" s="193"/>
      <c r="H266" s="99"/>
      <c r="I266" s="99"/>
      <c r="J266" s="96"/>
      <c r="K266" s="96"/>
      <c r="L266" s="97"/>
      <c r="M266" s="216">
        <f>M267</f>
        <v>253750296</v>
      </c>
      <c r="N266" s="216">
        <f t="shared" si="120"/>
        <v>206091051.30000001</v>
      </c>
      <c r="O266" s="216">
        <f t="shared" si="120"/>
        <v>210000645.30000001</v>
      </c>
      <c r="P266" s="220">
        <f t="shared" si="121"/>
        <v>82.758778456754982</v>
      </c>
      <c r="Q266" s="20"/>
      <c r="R266" s="20"/>
      <c r="S266" s="20"/>
      <c r="T266" s="20"/>
      <c r="U266" s="20"/>
      <c r="V266" s="20"/>
      <c r="W266" s="20"/>
    </row>
    <row r="267" spans="1:23" ht="27.75" customHeight="1" x14ac:dyDescent="0.2">
      <c r="A267" s="49" t="s">
        <v>19</v>
      </c>
      <c r="B267" s="95" t="s">
        <v>47</v>
      </c>
      <c r="C267" s="95" t="s">
        <v>12</v>
      </c>
      <c r="D267" s="148">
        <v>21</v>
      </c>
      <c r="E267" s="95" t="s">
        <v>32</v>
      </c>
      <c r="F267" s="95" t="s">
        <v>17</v>
      </c>
      <c r="G267" s="95" t="s">
        <v>0</v>
      </c>
      <c r="H267" s="99"/>
      <c r="I267" s="99"/>
      <c r="J267" s="96"/>
      <c r="K267" s="96"/>
      <c r="L267" s="97"/>
      <c r="M267" s="216">
        <f>M268</f>
        <v>253750296</v>
      </c>
      <c r="N267" s="216">
        <f t="shared" si="120"/>
        <v>206091051.30000001</v>
      </c>
      <c r="O267" s="216">
        <f t="shared" si="120"/>
        <v>210000645.30000001</v>
      </c>
      <c r="P267" s="220">
        <f t="shared" si="121"/>
        <v>82.758778456754982</v>
      </c>
      <c r="Q267" s="20"/>
      <c r="R267" s="20"/>
      <c r="S267" s="20"/>
      <c r="T267" s="20"/>
      <c r="U267" s="20"/>
      <c r="V267" s="20"/>
      <c r="W267" s="20"/>
    </row>
    <row r="268" spans="1:23" ht="24" customHeight="1" x14ac:dyDescent="0.2">
      <c r="A268" s="49" t="s">
        <v>51</v>
      </c>
      <c r="B268" s="95" t="s">
        <v>47</v>
      </c>
      <c r="C268" s="95" t="s">
        <v>12</v>
      </c>
      <c r="D268" s="148">
        <v>21</v>
      </c>
      <c r="E268" s="95" t="s">
        <v>32</v>
      </c>
      <c r="F268" s="95" t="s">
        <v>17</v>
      </c>
      <c r="G268" s="95" t="s">
        <v>23</v>
      </c>
      <c r="H268" s="95"/>
      <c r="I268" s="95"/>
      <c r="J268" s="96"/>
      <c r="K268" s="96"/>
      <c r="L268" s="97"/>
      <c r="M268" s="216">
        <f>M269+M270</f>
        <v>253750296</v>
      </c>
      <c r="N268" s="216">
        <f t="shared" ref="N268:O268" si="122">N269+N270</f>
        <v>206091051.30000001</v>
      </c>
      <c r="O268" s="216">
        <f t="shared" si="122"/>
        <v>210000645.30000001</v>
      </c>
      <c r="P268" s="220">
        <f t="shared" si="121"/>
        <v>82.758778456754982</v>
      </c>
      <c r="Q268" s="20"/>
      <c r="R268" s="20"/>
      <c r="S268" s="20"/>
      <c r="T268" s="20"/>
      <c r="U268" s="20"/>
      <c r="V268" s="20"/>
      <c r="W268" s="20"/>
    </row>
    <row r="269" spans="1:23" ht="41.25" customHeight="1" x14ac:dyDescent="0.2">
      <c r="A269" s="49" t="s">
        <v>83</v>
      </c>
      <c r="B269" s="95" t="s">
        <v>47</v>
      </c>
      <c r="C269" s="95" t="s">
        <v>12</v>
      </c>
      <c r="D269" s="148">
        <v>21</v>
      </c>
      <c r="E269" s="95" t="s">
        <v>32</v>
      </c>
      <c r="F269" s="95" t="s">
        <v>17</v>
      </c>
      <c r="G269" s="95" t="s">
        <v>23</v>
      </c>
      <c r="H269" s="95">
        <v>16160</v>
      </c>
      <c r="I269" s="95" t="s">
        <v>0</v>
      </c>
      <c r="J269" s="96"/>
      <c r="K269" s="96"/>
      <c r="L269" s="97"/>
      <c r="M269" s="216">
        <f>M271</f>
        <v>102949594</v>
      </c>
      <c r="N269" s="216">
        <f t="shared" ref="N269:O269" si="123">N271</f>
        <v>55290349.299999997</v>
      </c>
      <c r="O269" s="216">
        <f t="shared" si="123"/>
        <v>59199943.299999997</v>
      </c>
      <c r="P269" s="220">
        <f t="shared" si="121"/>
        <v>57.503814245250929</v>
      </c>
      <c r="Q269" s="20"/>
      <c r="R269" s="20"/>
      <c r="S269" s="20"/>
      <c r="T269" s="20"/>
      <c r="U269" s="20"/>
      <c r="V269" s="20"/>
      <c r="W269" s="20"/>
    </row>
    <row r="270" spans="1:23" ht="168.75" customHeight="1" x14ac:dyDescent="0.2">
      <c r="A270" s="194" t="s">
        <v>262</v>
      </c>
      <c r="B270" s="95" t="s">
        <v>47</v>
      </c>
      <c r="C270" s="95" t="s">
        <v>12</v>
      </c>
      <c r="D270" s="148">
        <v>21</v>
      </c>
      <c r="E270" s="95" t="s">
        <v>32</v>
      </c>
      <c r="F270" s="95" t="s">
        <v>17</v>
      </c>
      <c r="G270" s="115" t="s">
        <v>23</v>
      </c>
      <c r="H270" s="148" t="s">
        <v>257</v>
      </c>
      <c r="I270" s="195"/>
      <c r="J270" s="196"/>
      <c r="K270" s="196"/>
      <c r="L270" s="195"/>
      <c r="M270" s="216">
        <f>M272</f>
        <v>150800702</v>
      </c>
      <c r="N270" s="216">
        <f t="shared" ref="N270:O270" si="124">N272</f>
        <v>150800702</v>
      </c>
      <c r="O270" s="216">
        <f t="shared" si="124"/>
        <v>150800702</v>
      </c>
      <c r="P270" s="220">
        <f t="shared" si="121"/>
        <v>100</v>
      </c>
      <c r="Q270" s="20"/>
      <c r="R270" s="20"/>
      <c r="S270" s="20"/>
      <c r="T270" s="20"/>
      <c r="U270" s="20"/>
      <c r="V270" s="20"/>
      <c r="W270" s="20"/>
    </row>
    <row r="271" spans="1:23" ht="19.5" customHeight="1" x14ac:dyDescent="0.2">
      <c r="A271" s="235" t="s">
        <v>80</v>
      </c>
      <c r="B271" s="95" t="s">
        <v>47</v>
      </c>
      <c r="C271" s="95" t="s">
        <v>12</v>
      </c>
      <c r="D271" s="148">
        <v>21</v>
      </c>
      <c r="E271" s="95" t="s">
        <v>32</v>
      </c>
      <c r="F271" s="95" t="s">
        <v>17</v>
      </c>
      <c r="G271" s="95" t="s">
        <v>23</v>
      </c>
      <c r="H271" s="95">
        <v>16160</v>
      </c>
      <c r="I271" s="95" t="s">
        <v>81</v>
      </c>
      <c r="J271" s="196"/>
      <c r="K271" s="196"/>
      <c r="L271" s="195"/>
      <c r="M271" s="216">
        <f>M276+M278+M280</f>
        <v>102949594</v>
      </c>
      <c r="N271" s="216">
        <f t="shared" ref="N271:O271" si="125">N276+N278+N280</f>
        <v>55290349.299999997</v>
      </c>
      <c r="O271" s="216">
        <f t="shared" si="125"/>
        <v>59199943.299999997</v>
      </c>
      <c r="P271" s="220">
        <f t="shared" si="121"/>
        <v>57.503814245250929</v>
      </c>
      <c r="Q271" s="20"/>
      <c r="R271" s="20"/>
      <c r="S271" s="20"/>
      <c r="T271" s="20"/>
      <c r="U271" s="20"/>
      <c r="V271" s="20"/>
      <c r="W271" s="20"/>
    </row>
    <row r="272" spans="1:23" ht="30" customHeight="1" x14ac:dyDescent="0.2">
      <c r="A272" s="236"/>
      <c r="B272" s="95" t="s">
        <v>47</v>
      </c>
      <c r="C272" s="95" t="s">
        <v>12</v>
      </c>
      <c r="D272" s="148">
        <v>21</v>
      </c>
      <c r="E272" s="95" t="s">
        <v>32</v>
      </c>
      <c r="F272" s="95" t="s">
        <v>17</v>
      </c>
      <c r="G272" s="115" t="s">
        <v>23</v>
      </c>
      <c r="H272" s="148" t="s">
        <v>257</v>
      </c>
      <c r="I272" s="95" t="s">
        <v>81</v>
      </c>
      <c r="J272" s="96"/>
      <c r="K272" s="96"/>
      <c r="L272" s="97"/>
      <c r="M272" s="216">
        <f>M274+M275</f>
        <v>150800702</v>
      </c>
      <c r="N272" s="216">
        <f t="shared" ref="N272:O272" si="126">N274+N275</f>
        <v>150800702</v>
      </c>
      <c r="O272" s="216">
        <f t="shared" si="126"/>
        <v>150800702</v>
      </c>
      <c r="P272" s="220">
        <f t="shared" si="121"/>
        <v>100</v>
      </c>
      <c r="Q272" s="20"/>
      <c r="R272" s="20"/>
      <c r="S272" s="20"/>
      <c r="T272" s="20"/>
      <c r="U272" s="20"/>
      <c r="V272" s="20"/>
      <c r="W272" s="20"/>
    </row>
    <row r="273" spans="1:23" x14ac:dyDescent="0.2">
      <c r="A273" s="49" t="s">
        <v>86</v>
      </c>
      <c r="B273" s="95"/>
      <c r="C273" s="95"/>
      <c r="D273" s="95"/>
      <c r="E273" s="95"/>
      <c r="F273" s="95"/>
      <c r="G273" s="95"/>
      <c r="H273" s="95"/>
      <c r="I273" s="95"/>
      <c r="J273" s="96"/>
      <c r="K273" s="96"/>
      <c r="L273" s="97"/>
      <c r="M273" s="216">
        <f>M274+M275+M276</f>
        <v>234840702</v>
      </c>
      <c r="N273" s="216">
        <f t="shared" ref="N273:O273" si="127">N274+N275+N276</f>
        <v>191091051.30000001</v>
      </c>
      <c r="O273" s="216">
        <f t="shared" si="127"/>
        <v>191091051.30000001</v>
      </c>
      <c r="P273" s="220">
        <f t="shared" si="121"/>
        <v>81.370499096872919</v>
      </c>
      <c r="Q273" s="20"/>
      <c r="R273" s="20"/>
      <c r="S273" s="20"/>
      <c r="T273" s="20"/>
      <c r="U273" s="20"/>
      <c r="V273" s="20"/>
      <c r="W273" s="20"/>
    </row>
    <row r="274" spans="1:23" ht="39.75" customHeight="1" x14ac:dyDescent="0.2">
      <c r="A274" s="98" t="s">
        <v>122</v>
      </c>
      <c r="B274" s="99" t="s">
        <v>47</v>
      </c>
      <c r="C274" s="99" t="s">
        <v>12</v>
      </c>
      <c r="D274" s="99">
        <v>21</v>
      </c>
      <c r="E274" s="99" t="s">
        <v>32</v>
      </c>
      <c r="F274" s="99" t="s">
        <v>17</v>
      </c>
      <c r="G274" s="99" t="s">
        <v>23</v>
      </c>
      <c r="H274" s="99" t="s">
        <v>257</v>
      </c>
      <c r="I274" s="99" t="s">
        <v>81</v>
      </c>
      <c r="J274" s="97" t="s">
        <v>68</v>
      </c>
      <c r="K274" s="103">
        <v>1.373</v>
      </c>
      <c r="L274" s="97">
        <v>2016</v>
      </c>
      <c r="M274" s="93">
        <v>68520435</v>
      </c>
      <c r="N274" s="94">
        <f>O274</f>
        <v>68520435</v>
      </c>
      <c r="O274" s="218">
        <v>68520435</v>
      </c>
      <c r="P274" s="221">
        <f t="shared" si="121"/>
        <v>100</v>
      </c>
      <c r="Q274" s="20"/>
      <c r="R274" s="20"/>
      <c r="S274" s="20"/>
      <c r="T274" s="20"/>
      <c r="U274" s="20"/>
      <c r="V274" s="20"/>
      <c r="W274" s="20"/>
    </row>
    <row r="275" spans="1:23" ht="49.5" customHeight="1" x14ac:dyDescent="0.2">
      <c r="A275" s="98" t="s">
        <v>211</v>
      </c>
      <c r="B275" s="99" t="s">
        <v>47</v>
      </c>
      <c r="C275" s="99" t="s">
        <v>12</v>
      </c>
      <c r="D275" s="99">
        <v>21</v>
      </c>
      <c r="E275" s="99" t="s">
        <v>32</v>
      </c>
      <c r="F275" s="99" t="s">
        <v>17</v>
      </c>
      <c r="G275" s="99" t="s">
        <v>23</v>
      </c>
      <c r="H275" s="99" t="s">
        <v>257</v>
      </c>
      <c r="I275" s="99">
        <v>522</v>
      </c>
      <c r="J275" s="97" t="s">
        <v>68</v>
      </c>
      <c r="K275" s="103">
        <v>0.38100000000000001</v>
      </c>
      <c r="L275" s="97">
        <v>2016</v>
      </c>
      <c r="M275" s="93">
        <v>82280267</v>
      </c>
      <c r="N275" s="94">
        <f t="shared" ref="N275:N278" si="128">O275</f>
        <v>82280267</v>
      </c>
      <c r="O275" s="207">
        <v>82280267</v>
      </c>
      <c r="P275" s="221">
        <f t="shared" si="121"/>
        <v>100</v>
      </c>
      <c r="Q275" s="20"/>
      <c r="R275" s="20"/>
      <c r="S275" s="20"/>
      <c r="T275" s="20"/>
      <c r="U275" s="20"/>
      <c r="V275" s="20"/>
      <c r="W275" s="20"/>
    </row>
    <row r="276" spans="1:23" ht="62.25" customHeight="1" x14ac:dyDescent="0.2">
      <c r="A276" s="98" t="s">
        <v>298</v>
      </c>
      <c r="B276" s="102" t="s">
        <v>47</v>
      </c>
      <c r="C276" s="102" t="s">
        <v>12</v>
      </c>
      <c r="D276" s="102">
        <v>21</v>
      </c>
      <c r="E276" s="102" t="s">
        <v>32</v>
      </c>
      <c r="F276" s="102" t="s">
        <v>17</v>
      </c>
      <c r="G276" s="102" t="s">
        <v>23</v>
      </c>
      <c r="H276" s="102">
        <v>16160</v>
      </c>
      <c r="I276" s="102">
        <v>522</v>
      </c>
      <c r="J276" s="103" t="s">
        <v>68</v>
      </c>
      <c r="K276" s="103"/>
      <c r="L276" s="103">
        <v>2016</v>
      </c>
      <c r="M276" s="93">
        <f>88000000-3960000</f>
        <v>84040000</v>
      </c>
      <c r="N276" s="94">
        <f t="shared" si="128"/>
        <v>40290349.299999997</v>
      </c>
      <c r="O276" s="207">
        <v>40290349.299999997</v>
      </c>
      <c r="P276" s="221">
        <f t="shared" si="121"/>
        <v>47.94187208472156</v>
      </c>
      <c r="Q276" s="20"/>
      <c r="R276" s="20"/>
      <c r="S276" s="20"/>
      <c r="T276" s="20"/>
      <c r="U276" s="20"/>
      <c r="V276" s="20"/>
      <c r="W276" s="20"/>
    </row>
    <row r="277" spans="1:23" ht="23.25" customHeight="1" x14ac:dyDescent="0.2">
      <c r="A277" s="163" t="s">
        <v>374</v>
      </c>
      <c r="B277" s="99"/>
      <c r="C277" s="99"/>
      <c r="D277" s="99"/>
      <c r="E277" s="99"/>
      <c r="F277" s="99"/>
      <c r="G277" s="99"/>
      <c r="H277" s="99"/>
      <c r="I277" s="99"/>
      <c r="J277" s="180"/>
      <c r="K277" s="159"/>
      <c r="L277" s="159"/>
      <c r="M277" s="216">
        <f>M278</f>
        <v>15000000</v>
      </c>
      <c r="N277" s="216">
        <f t="shared" ref="N277:O277" si="129">N278</f>
        <v>15000000</v>
      </c>
      <c r="O277" s="216">
        <f t="shared" si="129"/>
        <v>15000000</v>
      </c>
      <c r="P277" s="220">
        <f t="shared" si="121"/>
        <v>100</v>
      </c>
      <c r="Q277" s="20"/>
      <c r="R277" s="20"/>
      <c r="S277" s="20"/>
      <c r="T277" s="20"/>
      <c r="U277" s="20"/>
      <c r="V277" s="20"/>
      <c r="W277" s="20"/>
    </row>
    <row r="278" spans="1:23" ht="84" customHeight="1" x14ac:dyDescent="0.2">
      <c r="A278" s="46" t="s">
        <v>392</v>
      </c>
      <c r="B278" s="99" t="s">
        <v>47</v>
      </c>
      <c r="C278" s="99" t="s">
        <v>12</v>
      </c>
      <c r="D278" s="99">
        <v>21</v>
      </c>
      <c r="E278" s="99" t="s">
        <v>32</v>
      </c>
      <c r="F278" s="99" t="s">
        <v>17</v>
      </c>
      <c r="G278" s="99" t="s">
        <v>23</v>
      </c>
      <c r="H278" s="99">
        <v>16160</v>
      </c>
      <c r="I278" s="99" t="s">
        <v>81</v>
      </c>
      <c r="J278" s="180" t="s">
        <v>68</v>
      </c>
      <c r="K278" s="159">
        <v>1.879</v>
      </c>
      <c r="L278" s="159">
        <v>2016</v>
      </c>
      <c r="M278" s="93">
        <v>15000000</v>
      </c>
      <c r="N278" s="94">
        <f t="shared" si="128"/>
        <v>15000000</v>
      </c>
      <c r="O278" s="207">
        <v>15000000</v>
      </c>
      <c r="P278" s="221">
        <f t="shared" si="121"/>
        <v>100</v>
      </c>
      <c r="Q278" s="20"/>
      <c r="R278" s="20"/>
      <c r="S278" s="20"/>
      <c r="T278" s="20"/>
      <c r="U278" s="20"/>
      <c r="V278" s="20"/>
      <c r="W278" s="20"/>
    </row>
    <row r="279" spans="1:23" s="20" customFormat="1" ht="17.25" customHeight="1" x14ac:dyDescent="0.2">
      <c r="A279" s="85" t="s">
        <v>132</v>
      </c>
      <c r="B279" s="102"/>
      <c r="C279" s="102"/>
      <c r="D279" s="102"/>
      <c r="E279" s="102"/>
      <c r="F279" s="102"/>
      <c r="G279" s="102"/>
      <c r="H279" s="102"/>
      <c r="I279" s="102"/>
      <c r="J279" s="180"/>
      <c r="K279" s="159"/>
      <c r="L279" s="159"/>
      <c r="M279" s="216">
        <f>M280</f>
        <v>3909594</v>
      </c>
      <c r="N279" s="216">
        <f t="shared" ref="N279:O279" si="130">N280</f>
        <v>0</v>
      </c>
      <c r="O279" s="216">
        <f t="shared" si="130"/>
        <v>3909594</v>
      </c>
      <c r="P279" s="220">
        <f t="shared" si="121"/>
        <v>100</v>
      </c>
    </row>
    <row r="280" spans="1:23" s="20" customFormat="1" ht="63" customHeight="1" x14ac:dyDescent="0.2">
      <c r="A280" s="146" t="s">
        <v>336</v>
      </c>
      <c r="B280" s="102" t="s">
        <v>47</v>
      </c>
      <c r="C280" s="102" t="s">
        <v>12</v>
      </c>
      <c r="D280" s="102">
        <v>21</v>
      </c>
      <c r="E280" s="102" t="s">
        <v>32</v>
      </c>
      <c r="F280" s="102" t="s">
        <v>17</v>
      </c>
      <c r="G280" s="102" t="s">
        <v>23</v>
      </c>
      <c r="H280" s="102">
        <v>16160</v>
      </c>
      <c r="I280" s="102" t="s">
        <v>81</v>
      </c>
      <c r="J280" s="180" t="s">
        <v>68</v>
      </c>
      <c r="K280" s="159"/>
      <c r="L280" s="159">
        <v>2016</v>
      </c>
      <c r="M280" s="93">
        <f>M281</f>
        <v>3909594</v>
      </c>
      <c r="N280" s="94">
        <v>0</v>
      </c>
      <c r="O280" s="93">
        <f>O281</f>
        <v>3909594</v>
      </c>
      <c r="P280" s="221">
        <f t="shared" si="121"/>
        <v>100</v>
      </c>
    </row>
    <row r="281" spans="1:23" s="20" customFormat="1" ht="35.25" customHeight="1" x14ac:dyDescent="0.2">
      <c r="A281" s="167" t="s">
        <v>191</v>
      </c>
      <c r="B281" s="102"/>
      <c r="C281" s="102"/>
      <c r="D281" s="102"/>
      <c r="E281" s="102"/>
      <c r="F281" s="102"/>
      <c r="G281" s="102"/>
      <c r="H281" s="102"/>
      <c r="I281" s="102"/>
      <c r="J281" s="180"/>
      <c r="K281" s="159"/>
      <c r="L281" s="159"/>
      <c r="M281" s="93">
        <v>3909594</v>
      </c>
      <c r="N281" s="94">
        <v>0</v>
      </c>
      <c r="O281" s="93">
        <v>3909594</v>
      </c>
      <c r="P281" s="221">
        <f t="shared" si="121"/>
        <v>100</v>
      </c>
    </row>
    <row r="282" spans="1:23" s="20" customFormat="1" ht="78" customHeight="1" x14ac:dyDescent="0.2">
      <c r="A282" s="90" t="s">
        <v>338</v>
      </c>
      <c r="B282" s="101">
        <v>20</v>
      </c>
      <c r="C282" s="101">
        <v>0</v>
      </c>
      <c r="D282" s="102"/>
      <c r="E282" s="102"/>
      <c r="F282" s="102"/>
      <c r="G282" s="102"/>
      <c r="H282" s="102"/>
      <c r="I282" s="102"/>
      <c r="J282" s="180"/>
      <c r="K282" s="159"/>
      <c r="L282" s="159"/>
      <c r="M282" s="216">
        <f>M284</f>
        <v>93720170.030000001</v>
      </c>
      <c r="N282" s="216">
        <f t="shared" ref="N282:O282" si="131">N284</f>
        <v>84767475.879999995</v>
      </c>
      <c r="O282" s="216">
        <f t="shared" si="131"/>
        <v>91463845.879999995</v>
      </c>
      <c r="P282" s="220">
        <f t="shared" si="121"/>
        <v>97.592488202616622</v>
      </c>
    </row>
    <row r="283" spans="1:23" s="20" customFormat="1" ht="88.5" customHeight="1" x14ac:dyDescent="0.2">
      <c r="A283" s="85" t="s">
        <v>237</v>
      </c>
      <c r="B283" s="101">
        <v>20</v>
      </c>
      <c r="C283" s="101">
        <v>0</v>
      </c>
      <c r="D283" s="101">
        <v>11</v>
      </c>
      <c r="E283" s="102"/>
      <c r="F283" s="102"/>
      <c r="G283" s="102"/>
      <c r="H283" s="102"/>
      <c r="I283" s="102"/>
      <c r="J283" s="180"/>
      <c r="K283" s="159"/>
      <c r="L283" s="159"/>
      <c r="M283" s="216">
        <f>M284</f>
        <v>93720170.030000001</v>
      </c>
      <c r="N283" s="216">
        <f t="shared" ref="N283:O283" si="132">N284</f>
        <v>84767475.879999995</v>
      </c>
      <c r="O283" s="216">
        <f t="shared" si="132"/>
        <v>91463845.879999995</v>
      </c>
      <c r="P283" s="220">
        <f t="shared" si="121"/>
        <v>97.592488202616622</v>
      </c>
    </row>
    <row r="284" spans="1:23" s="20" customFormat="1" x14ac:dyDescent="0.2">
      <c r="A284" s="49" t="s">
        <v>43</v>
      </c>
      <c r="B284" s="101">
        <v>20</v>
      </c>
      <c r="C284" s="101">
        <v>0</v>
      </c>
      <c r="D284" s="101">
        <v>11</v>
      </c>
      <c r="E284" s="101" t="s">
        <v>32</v>
      </c>
      <c r="F284" s="101" t="s">
        <v>22</v>
      </c>
      <c r="G284" s="101" t="s">
        <v>16</v>
      </c>
      <c r="H284" s="101"/>
      <c r="I284" s="101"/>
      <c r="J284" s="197"/>
      <c r="K284" s="197"/>
      <c r="L284" s="170"/>
      <c r="M284" s="210">
        <f>M286+M285</f>
        <v>93720170.030000001</v>
      </c>
      <c r="N284" s="210">
        <f t="shared" ref="N284:O284" si="133">N286+N285</f>
        <v>84767475.879999995</v>
      </c>
      <c r="O284" s="210">
        <f t="shared" si="133"/>
        <v>91463845.879999995</v>
      </c>
      <c r="P284" s="220">
        <f t="shared" si="121"/>
        <v>97.592488202616622</v>
      </c>
    </row>
    <row r="285" spans="1:23" s="20" customFormat="1" ht="37.5" customHeight="1" x14ac:dyDescent="0.2">
      <c r="A285" s="49" t="s">
        <v>84</v>
      </c>
      <c r="B285" s="101">
        <v>20</v>
      </c>
      <c r="C285" s="101">
        <v>0</v>
      </c>
      <c r="D285" s="101">
        <v>11</v>
      </c>
      <c r="E285" s="101" t="s">
        <v>32</v>
      </c>
      <c r="F285" s="101" t="s">
        <v>22</v>
      </c>
      <c r="G285" s="101" t="s">
        <v>16</v>
      </c>
      <c r="H285" s="101">
        <v>11270</v>
      </c>
      <c r="I285" s="101"/>
      <c r="J285" s="197"/>
      <c r="K285" s="197"/>
      <c r="L285" s="170"/>
      <c r="M285" s="210">
        <f>M287</f>
        <v>2000000</v>
      </c>
      <c r="N285" s="210">
        <f t="shared" ref="N285:O285" si="134">N287</f>
        <v>2000000</v>
      </c>
      <c r="O285" s="210">
        <f t="shared" si="134"/>
        <v>2000000</v>
      </c>
      <c r="P285" s="220">
        <f t="shared" si="121"/>
        <v>100</v>
      </c>
    </row>
    <row r="286" spans="1:23" s="20" customFormat="1" ht="26.25" customHeight="1" x14ac:dyDescent="0.2">
      <c r="A286" s="49" t="s">
        <v>314</v>
      </c>
      <c r="B286" s="101">
        <v>20</v>
      </c>
      <c r="C286" s="101">
        <v>0</v>
      </c>
      <c r="D286" s="101">
        <v>11</v>
      </c>
      <c r="E286" s="101" t="s">
        <v>32</v>
      </c>
      <c r="F286" s="101" t="s">
        <v>22</v>
      </c>
      <c r="G286" s="101" t="s">
        <v>16</v>
      </c>
      <c r="H286" s="101" t="s">
        <v>312</v>
      </c>
      <c r="I286" s="198" t="s">
        <v>0</v>
      </c>
      <c r="J286" s="197"/>
      <c r="K286" s="197"/>
      <c r="L286" s="170"/>
      <c r="M286" s="210">
        <f>M288</f>
        <v>91720170.030000001</v>
      </c>
      <c r="N286" s="210">
        <f t="shared" ref="N286:O286" si="135">N288</f>
        <v>82767475.879999995</v>
      </c>
      <c r="O286" s="210">
        <f t="shared" si="135"/>
        <v>89463845.879999995</v>
      </c>
      <c r="P286" s="220">
        <f t="shared" si="121"/>
        <v>97.539991313511521</v>
      </c>
    </row>
    <row r="287" spans="1:23" s="20" customFormat="1" ht="17.25" customHeight="1" x14ac:dyDescent="0.2">
      <c r="A287" s="235" t="s">
        <v>80</v>
      </c>
      <c r="B287" s="101">
        <v>20</v>
      </c>
      <c r="C287" s="101">
        <v>0</v>
      </c>
      <c r="D287" s="101">
        <v>11</v>
      </c>
      <c r="E287" s="101" t="s">
        <v>32</v>
      </c>
      <c r="F287" s="101" t="s">
        <v>22</v>
      </c>
      <c r="G287" s="101" t="s">
        <v>16</v>
      </c>
      <c r="H287" s="101">
        <v>11270</v>
      </c>
      <c r="I287" s="101" t="s">
        <v>81</v>
      </c>
      <c r="J287" s="197"/>
      <c r="K287" s="197"/>
      <c r="L287" s="170"/>
      <c r="M287" s="210">
        <f>M292+M294</f>
        <v>2000000</v>
      </c>
      <c r="N287" s="210">
        <f t="shared" ref="N287:O287" si="136">N292+N294</f>
        <v>2000000</v>
      </c>
      <c r="O287" s="210">
        <f t="shared" si="136"/>
        <v>2000000</v>
      </c>
      <c r="P287" s="220">
        <f t="shared" si="121"/>
        <v>100</v>
      </c>
    </row>
    <row r="288" spans="1:23" s="20" customFormat="1" ht="30.75" customHeight="1" x14ac:dyDescent="0.2">
      <c r="A288" s="236"/>
      <c r="B288" s="101">
        <v>20</v>
      </c>
      <c r="C288" s="101">
        <v>0</v>
      </c>
      <c r="D288" s="101">
        <v>11</v>
      </c>
      <c r="E288" s="101" t="s">
        <v>32</v>
      </c>
      <c r="F288" s="101" t="s">
        <v>22</v>
      </c>
      <c r="G288" s="101" t="s">
        <v>16</v>
      </c>
      <c r="H288" s="101" t="s">
        <v>312</v>
      </c>
      <c r="I288" s="101" t="s">
        <v>81</v>
      </c>
      <c r="J288" s="197"/>
      <c r="K288" s="197"/>
      <c r="L288" s="161"/>
      <c r="M288" s="210">
        <f>M296+M290</f>
        <v>91720170.030000001</v>
      </c>
      <c r="N288" s="210">
        <f t="shared" ref="N288:O288" si="137">N296+N290</f>
        <v>82767475.879999995</v>
      </c>
      <c r="O288" s="210">
        <f t="shared" si="137"/>
        <v>89463845.879999995</v>
      </c>
      <c r="P288" s="220">
        <f t="shared" si="121"/>
        <v>97.539991313511521</v>
      </c>
    </row>
    <row r="289" spans="1:23" s="20" customFormat="1" x14ac:dyDescent="0.2">
      <c r="A289" s="49" t="s">
        <v>296</v>
      </c>
      <c r="B289" s="101"/>
      <c r="C289" s="101"/>
      <c r="D289" s="101"/>
      <c r="E289" s="101"/>
      <c r="F289" s="101"/>
      <c r="G289" s="101"/>
      <c r="H289" s="101"/>
      <c r="I289" s="101"/>
      <c r="J289" s="197"/>
      <c r="K289" s="197"/>
      <c r="L289" s="161"/>
      <c r="M289" s="210">
        <f>M290</f>
        <v>56380725.030000001</v>
      </c>
      <c r="N289" s="210">
        <f t="shared" ref="N289:O289" si="138">N290</f>
        <v>54124400.880000003</v>
      </c>
      <c r="O289" s="210">
        <f t="shared" si="138"/>
        <v>54124400.880000003</v>
      </c>
      <c r="P289" s="220">
        <f t="shared" si="121"/>
        <v>95.998057582978205</v>
      </c>
    </row>
    <row r="290" spans="1:23" s="20" customFormat="1" ht="27" customHeight="1" x14ac:dyDescent="0.2">
      <c r="A290" s="46" t="s">
        <v>313</v>
      </c>
      <c r="B290" s="102">
        <v>20</v>
      </c>
      <c r="C290" s="102">
        <v>0</v>
      </c>
      <c r="D290" s="152" t="s">
        <v>14</v>
      </c>
      <c r="E290" s="102" t="s">
        <v>32</v>
      </c>
      <c r="F290" s="102" t="s">
        <v>22</v>
      </c>
      <c r="G290" s="102" t="s">
        <v>16</v>
      </c>
      <c r="H290" s="102" t="s">
        <v>312</v>
      </c>
      <c r="I290" s="102" t="s">
        <v>81</v>
      </c>
      <c r="J290" s="161" t="s">
        <v>144</v>
      </c>
      <c r="K290" s="199">
        <v>600</v>
      </c>
      <c r="L290" s="200">
        <v>2016</v>
      </c>
      <c r="M290" s="94">
        <f>52403039.08+3977685.95</f>
        <v>56380725.030000001</v>
      </c>
      <c r="N290" s="94">
        <f>O290</f>
        <v>54124400.880000003</v>
      </c>
      <c r="O290" s="207">
        <f>54098990.88+25410</f>
        <v>54124400.880000003</v>
      </c>
      <c r="P290" s="221">
        <f t="shared" si="121"/>
        <v>95.998057582978205</v>
      </c>
    </row>
    <row r="291" spans="1:23" s="20" customFormat="1" ht="18.75" customHeight="1" x14ac:dyDescent="0.2">
      <c r="A291" s="49" t="s">
        <v>247</v>
      </c>
      <c r="B291" s="102"/>
      <c r="C291" s="102"/>
      <c r="D291" s="152"/>
      <c r="E291" s="102"/>
      <c r="F291" s="102"/>
      <c r="G291" s="102"/>
      <c r="H291" s="102"/>
      <c r="I291" s="102"/>
      <c r="J291" s="161"/>
      <c r="K291" s="199"/>
      <c r="L291" s="200"/>
      <c r="M291" s="210">
        <f>M292</f>
        <v>1000000</v>
      </c>
      <c r="N291" s="210">
        <f t="shared" ref="N291:O291" si="139">N292</f>
        <v>1000000</v>
      </c>
      <c r="O291" s="210">
        <f t="shared" si="139"/>
        <v>1000000</v>
      </c>
      <c r="P291" s="220">
        <f t="shared" si="121"/>
        <v>100</v>
      </c>
    </row>
    <row r="292" spans="1:23" s="20" customFormat="1" ht="36.75" customHeight="1" x14ac:dyDescent="0.2">
      <c r="A292" s="46" t="s">
        <v>371</v>
      </c>
      <c r="B292" s="102">
        <v>20</v>
      </c>
      <c r="C292" s="102">
        <v>0</v>
      </c>
      <c r="D292" s="152" t="s">
        <v>14</v>
      </c>
      <c r="E292" s="102">
        <v>819</v>
      </c>
      <c r="F292" s="102" t="s">
        <v>22</v>
      </c>
      <c r="G292" s="102" t="s">
        <v>16</v>
      </c>
      <c r="H292" s="102">
        <v>11270</v>
      </c>
      <c r="I292" s="102">
        <v>522</v>
      </c>
      <c r="J292" s="161" t="s">
        <v>144</v>
      </c>
      <c r="K292" s="199">
        <v>500</v>
      </c>
      <c r="L292" s="200">
        <v>2017</v>
      </c>
      <c r="M292" s="94">
        <v>1000000</v>
      </c>
      <c r="N292" s="94">
        <f>O292</f>
        <v>1000000</v>
      </c>
      <c r="O292" s="207">
        <v>1000000</v>
      </c>
      <c r="P292" s="221">
        <f t="shared" si="121"/>
        <v>100</v>
      </c>
    </row>
    <row r="293" spans="1:23" s="20" customFormat="1" ht="18.75" customHeight="1" x14ac:dyDescent="0.2">
      <c r="A293" s="163" t="s">
        <v>66</v>
      </c>
      <c r="B293" s="102"/>
      <c r="C293" s="102"/>
      <c r="D293" s="152"/>
      <c r="E293" s="102"/>
      <c r="F293" s="102"/>
      <c r="G293" s="102"/>
      <c r="H293" s="102"/>
      <c r="I293" s="102"/>
      <c r="J293" s="161"/>
      <c r="K293" s="199"/>
      <c r="L293" s="200"/>
      <c r="M293" s="210">
        <f>M294</f>
        <v>1000000</v>
      </c>
      <c r="N293" s="210">
        <f t="shared" ref="N293:O293" si="140">N294</f>
        <v>1000000</v>
      </c>
      <c r="O293" s="210">
        <f t="shared" si="140"/>
        <v>1000000</v>
      </c>
      <c r="P293" s="220">
        <f t="shared" si="121"/>
        <v>100</v>
      </c>
    </row>
    <row r="294" spans="1:23" s="20" customFormat="1" ht="49.5" customHeight="1" x14ac:dyDescent="0.2">
      <c r="A294" s="46" t="s">
        <v>370</v>
      </c>
      <c r="B294" s="102">
        <v>20</v>
      </c>
      <c r="C294" s="102">
        <v>0</v>
      </c>
      <c r="D294" s="152" t="s">
        <v>14</v>
      </c>
      <c r="E294" s="102">
        <v>819</v>
      </c>
      <c r="F294" s="102" t="s">
        <v>22</v>
      </c>
      <c r="G294" s="102" t="s">
        <v>16</v>
      </c>
      <c r="H294" s="102">
        <v>11270</v>
      </c>
      <c r="I294" s="102">
        <v>522</v>
      </c>
      <c r="J294" s="161" t="s">
        <v>144</v>
      </c>
      <c r="K294" s="199">
        <v>500</v>
      </c>
      <c r="L294" s="200">
        <v>2017</v>
      </c>
      <c r="M294" s="94">
        <v>1000000</v>
      </c>
      <c r="N294" s="94">
        <f>O294</f>
        <v>1000000</v>
      </c>
      <c r="O294" s="207">
        <v>1000000</v>
      </c>
      <c r="P294" s="221">
        <f t="shared" si="121"/>
        <v>100</v>
      </c>
    </row>
    <row r="295" spans="1:23" s="20" customFormat="1" ht="18" customHeight="1" x14ac:dyDescent="0.2">
      <c r="A295" s="163" t="s">
        <v>75</v>
      </c>
      <c r="B295" s="102"/>
      <c r="C295" s="102"/>
      <c r="D295" s="102"/>
      <c r="E295" s="102"/>
      <c r="F295" s="102"/>
      <c r="G295" s="102"/>
      <c r="H295" s="102"/>
      <c r="I295" s="102"/>
      <c r="J295" s="161"/>
      <c r="K295" s="199"/>
      <c r="L295" s="161"/>
      <c r="M295" s="210">
        <f>M296</f>
        <v>35339445</v>
      </c>
      <c r="N295" s="210">
        <f t="shared" ref="N295:O295" si="141">N296</f>
        <v>28643075</v>
      </c>
      <c r="O295" s="210">
        <f t="shared" si="141"/>
        <v>35339445</v>
      </c>
      <c r="P295" s="220">
        <f t="shared" si="121"/>
        <v>100</v>
      </c>
    </row>
    <row r="296" spans="1:23" s="20" customFormat="1" ht="24.75" customHeight="1" x14ac:dyDescent="0.2">
      <c r="A296" s="146" t="s">
        <v>311</v>
      </c>
      <c r="B296" s="102">
        <v>20</v>
      </c>
      <c r="C296" s="102">
        <v>0</v>
      </c>
      <c r="D296" s="152" t="s">
        <v>14</v>
      </c>
      <c r="E296" s="102" t="s">
        <v>32</v>
      </c>
      <c r="F296" s="102" t="s">
        <v>22</v>
      </c>
      <c r="G296" s="102" t="s">
        <v>16</v>
      </c>
      <c r="H296" s="102" t="s">
        <v>312</v>
      </c>
      <c r="I296" s="102" t="s">
        <v>81</v>
      </c>
      <c r="J296" s="161" t="s">
        <v>144</v>
      </c>
      <c r="K296" s="199">
        <v>500</v>
      </c>
      <c r="L296" s="200">
        <v>2016</v>
      </c>
      <c r="M296" s="94">
        <f>32620760.95+6696370-3977685.95</f>
        <v>35339445</v>
      </c>
      <c r="N296" s="94">
        <f>O296-O297</f>
        <v>28643075</v>
      </c>
      <c r="O296" s="219">
        <v>35339445</v>
      </c>
      <c r="P296" s="221">
        <f t="shared" si="121"/>
        <v>100</v>
      </c>
    </row>
    <row r="297" spans="1:23" s="20" customFormat="1" ht="37.5" customHeight="1" x14ac:dyDescent="0.2">
      <c r="A297" s="167" t="s">
        <v>191</v>
      </c>
      <c r="B297" s="101"/>
      <c r="C297" s="101"/>
      <c r="D297" s="101"/>
      <c r="E297" s="101"/>
      <c r="F297" s="101"/>
      <c r="G297" s="101"/>
      <c r="H297" s="101"/>
      <c r="I297" s="101"/>
      <c r="J297" s="197"/>
      <c r="K297" s="197"/>
      <c r="L297" s="161"/>
      <c r="M297" s="94">
        <v>6696370</v>
      </c>
      <c r="N297" s="94">
        <v>0</v>
      </c>
      <c r="O297" s="219">
        <v>6696370</v>
      </c>
      <c r="P297" s="221">
        <f t="shared" si="121"/>
        <v>100</v>
      </c>
    </row>
    <row r="298" spans="1:23" ht="36.75" customHeight="1" x14ac:dyDescent="0.2">
      <c r="A298" s="49" t="s">
        <v>259</v>
      </c>
      <c r="B298" s="95" t="s">
        <v>54</v>
      </c>
      <c r="C298" s="95">
        <v>0</v>
      </c>
      <c r="D298" s="95"/>
      <c r="E298" s="95" t="s">
        <v>0</v>
      </c>
      <c r="F298" s="95" t="s">
        <v>0</v>
      </c>
      <c r="G298" s="95" t="s">
        <v>0</v>
      </c>
      <c r="H298" s="95"/>
      <c r="I298" s="95"/>
      <c r="J298" s="201"/>
      <c r="K298" s="201"/>
      <c r="L298" s="124"/>
      <c r="M298" s="216">
        <f>M300</f>
        <v>421929</v>
      </c>
      <c r="N298" s="216">
        <f t="shared" ref="N298:O298" si="142">N300</f>
        <v>0</v>
      </c>
      <c r="O298" s="216">
        <f t="shared" si="142"/>
        <v>421929</v>
      </c>
      <c r="P298" s="220">
        <f t="shared" si="121"/>
        <v>100</v>
      </c>
      <c r="Q298" s="20"/>
      <c r="R298" s="20"/>
      <c r="S298" s="20"/>
      <c r="T298" s="20"/>
      <c r="U298" s="20"/>
      <c r="V298" s="20"/>
      <c r="W298" s="20"/>
    </row>
    <row r="299" spans="1:23" ht="28.5" customHeight="1" x14ac:dyDescent="0.2">
      <c r="A299" s="90" t="s">
        <v>183</v>
      </c>
      <c r="B299" s="148" t="s">
        <v>54</v>
      </c>
      <c r="C299" s="148">
        <v>0</v>
      </c>
      <c r="D299" s="148">
        <v>14</v>
      </c>
      <c r="E299" s="95"/>
      <c r="F299" s="95"/>
      <c r="G299" s="95"/>
      <c r="H299" s="95"/>
      <c r="I299" s="95"/>
      <c r="J299" s="201"/>
      <c r="K299" s="201"/>
      <c r="L299" s="124"/>
      <c r="M299" s="216">
        <f>M300</f>
        <v>421929</v>
      </c>
      <c r="N299" s="216">
        <f t="shared" ref="N299:O299" si="143">N300</f>
        <v>0</v>
      </c>
      <c r="O299" s="216">
        <f t="shared" si="143"/>
        <v>421929</v>
      </c>
      <c r="P299" s="220">
        <f t="shared" si="121"/>
        <v>100</v>
      </c>
      <c r="Q299" s="20"/>
      <c r="R299" s="20"/>
      <c r="S299" s="20"/>
      <c r="T299" s="20"/>
      <c r="U299" s="20"/>
      <c r="V299" s="20"/>
      <c r="W299" s="20"/>
    </row>
    <row r="300" spans="1:23" ht="25.5" customHeight="1" x14ac:dyDescent="0.2">
      <c r="A300" s="49" t="s">
        <v>31</v>
      </c>
      <c r="B300" s="95" t="s">
        <v>54</v>
      </c>
      <c r="C300" s="95">
        <v>0</v>
      </c>
      <c r="D300" s="148">
        <v>14</v>
      </c>
      <c r="E300" s="95" t="s">
        <v>32</v>
      </c>
      <c r="F300" s="95" t="s">
        <v>0</v>
      </c>
      <c r="G300" s="95" t="s">
        <v>0</v>
      </c>
      <c r="H300" s="95"/>
      <c r="I300" s="95"/>
      <c r="J300" s="188"/>
      <c r="K300" s="188"/>
      <c r="L300" s="124"/>
      <c r="M300" s="216">
        <f t="shared" ref="M300:O305" si="144">M301</f>
        <v>421929</v>
      </c>
      <c r="N300" s="216">
        <f t="shared" si="144"/>
        <v>0</v>
      </c>
      <c r="O300" s="216">
        <f t="shared" si="144"/>
        <v>421929</v>
      </c>
      <c r="P300" s="220">
        <f t="shared" si="121"/>
        <v>100</v>
      </c>
      <c r="Q300" s="20"/>
      <c r="R300" s="20"/>
      <c r="S300" s="20"/>
      <c r="T300" s="20"/>
      <c r="U300" s="20"/>
      <c r="V300" s="20"/>
      <c r="W300" s="20"/>
    </row>
    <row r="301" spans="1:23" x14ac:dyDescent="0.2">
      <c r="A301" s="49" t="s">
        <v>55</v>
      </c>
      <c r="B301" s="95" t="s">
        <v>54</v>
      </c>
      <c r="C301" s="95">
        <v>0</v>
      </c>
      <c r="D301" s="148">
        <v>14</v>
      </c>
      <c r="E301" s="95" t="s">
        <v>32</v>
      </c>
      <c r="F301" s="95" t="s">
        <v>14</v>
      </c>
      <c r="G301" s="95" t="s">
        <v>0</v>
      </c>
      <c r="H301" s="95"/>
      <c r="I301" s="95"/>
      <c r="J301" s="188"/>
      <c r="K301" s="188"/>
      <c r="L301" s="124"/>
      <c r="M301" s="216">
        <f t="shared" si="144"/>
        <v>421929</v>
      </c>
      <c r="N301" s="216">
        <f t="shared" si="144"/>
        <v>0</v>
      </c>
      <c r="O301" s="216">
        <f t="shared" si="144"/>
        <v>421929</v>
      </c>
      <c r="P301" s="220">
        <f t="shared" si="121"/>
        <v>100</v>
      </c>
      <c r="Q301" s="20"/>
      <c r="R301" s="20"/>
      <c r="S301" s="20"/>
      <c r="T301" s="20"/>
      <c r="U301" s="20"/>
      <c r="V301" s="20"/>
      <c r="W301" s="20"/>
    </row>
    <row r="302" spans="1:23" x14ac:dyDescent="0.2">
      <c r="A302" s="49" t="s">
        <v>56</v>
      </c>
      <c r="B302" s="95" t="s">
        <v>54</v>
      </c>
      <c r="C302" s="95">
        <v>0</v>
      </c>
      <c r="D302" s="148">
        <v>14</v>
      </c>
      <c r="E302" s="95" t="s">
        <v>32</v>
      </c>
      <c r="F302" s="95" t="s">
        <v>14</v>
      </c>
      <c r="G302" s="95" t="s">
        <v>15</v>
      </c>
      <c r="H302" s="95"/>
      <c r="I302" s="95"/>
      <c r="J302" s="202"/>
      <c r="K302" s="202"/>
      <c r="L302" s="203"/>
      <c r="M302" s="216">
        <f t="shared" si="144"/>
        <v>421929</v>
      </c>
      <c r="N302" s="216">
        <f t="shared" si="144"/>
        <v>0</v>
      </c>
      <c r="O302" s="216">
        <f t="shared" si="144"/>
        <v>421929</v>
      </c>
      <c r="P302" s="220">
        <f t="shared" si="121"/>
        <v>100</v>
      </c>
      <c r="Q302" s="20"/>
      <c r="R302" s="20"/>
      <c r="S302" s="20"/>
      <c r="T302" s="20"/>
      <c r="U302" s="20"/>
      <c r="V302" s="20"/>
      <c r="W302" s="20"/>
    </row>
    <row r="303" spans="1:23" ht="36.75" customHeight="1" x14ac:dyDescent="0.2">
      <c r="A303" s="49" t="s">
        <v>84</v>
      </c>
      <c r="B303" s="95" t="s">
        <v>54</v>
      </c>
      <c r="C303" s="95">
        <v>0</v>
      </c>
      <c r="D303" s="148">
        <v>14</v>
      </c>
      <c r="E303" s="95" t="s">
        <v>32</v>
      </c>
      <c r="F303" s="95" t="s">
        <v>14</v>
      </c>
      <c r="G303" s="95" t="s">
        <v>15</v>
      </c>
      <c r="H303" s="95">
        <v>11270</v>
      </c>
      <c r="I303" s="95" t="s">
        <v>0</v>
      </c>
      <c r="J303" s="201"/>
      <c r="K303" s="188"/>
      <c r="L303" s="124"/>
      <c r="M303" s="216">
        <f t="shared" si="144"/>
        <v>421929</v>
      </c>
      <c r="N303" s="216">
        <f t="shared" si="144"/>
        <v>0</v>
      </c>
      <c r="O303" s="216">
        <f t="shared" si="144"/>
        <v>421929</v>
      </c>
      <c r="P303" s="220">
        <f t="shared" si="121"/>
        <v>100</v>
      </c>
      <c r="Q303" s="20"/>
      <c r="R303" s="20"/>
      <c r="S303" s="20"/>
      <c r="T303" s="20"/>
      <c r="U303" s="20"/>
      <c r="V303" s="20"/>
      <c r="W303" s="20"/>
    </row>
    <row r="304" spans="1:23" ht="50.25" customHeight="1" x14ac:dyDescent="0.2">
      <c r="A304" s="49" t="s">
        <v>80</v>
      </c>
      <c r="B304" s="95" t="s">
        <v>54</v>
      </c>
      <c r="C304" s="95">
        <v>0</v>
      </c>
      <c r="D304" s="148">
        <v>14</v>
      </c>
      <c r="E304" s="95" t="s">
        <v>32</v>
      </c>
      <c r="F304" s="95" t="s">
        <v>14</v>
      </c>
      <c r="G304" s="95" t="s">
        <v>15</v>
      </c>
      <c r="H304" s="95">
        <v>11270</v>
      </c>
      <c r="I304" s="95" t="s">
        <v>81</v>
      </c>
      <c r="J304" s="96"/>
      <c r="K304" s="96"/>
      <c r="L304" s="97"/>
      <c r="M304" s="213">
        <f>M305+M308+M311</f>
        <v>421929</v>
      </c>
      <c r="N304" s="213">
        <f t="shared" ref="N304:O304" si="145">N305+N308+N311</f>
        <v>0</v>
      </c>
      <c r="O304" s="213">
        <f t="shared" si="145"/>
        <v>421929</v>
      </c>
      <c r="P304" s="220">
        <f t="shared" si="121"/>
        <v>100</v>
      </c>
      <c r="Q304" s="20"/>
      <c r="R304" s="20"/>
      <c r="S304" s="20"/>
      <c r="T304" s="20"/>
      <c r="U304" s="20"/>
      <c r="V304" s="20"/>
      <c r="W304" s="20"/>
    </row>
    <row r="305" spans="1:23" x14ac:dyDescent="0.2">
      <c r="A305" s="49" t="s">
        <v>91</v>
      </c>
      <c r="B305" s="95"/>
      <c r="C305" s="95"/>
      <c r="D305" s="95"/>
      <c r="E305" s="95"/>
      <c r="F305" s="95"/>
      <c r="G305" s="95"/>
      <c r="H305" s="95"/>
      <c r="I305" s="95"/>
      <c r="J305" s="96"/>
      <c r="K305" s="96"/>
      <c r="L305" s="97"/>
      <c r="M305" s="210">
        <f t="shared" si="144"/>
        <v>2224</v>
      </c>
      <c r="N305" s="210">
        <f t="shared" si="144"/>
        <v>0</v>
      </c>
      <c r="O305" s="210">
        <f t="shared" si="144"/>
        <v>2224</v>
      </c>
      <c r="P305" s="220">
        <f t="shared" si="121"/>
        <v>100</v>
      </c>
      <c r="Q305" s="20"/>
      <c r="R305" s="20"/>
      <c r="S305" s="20"/>
      <c r="T305" s="20"/>
      <c r="U305" s="20"/>
      <c r="V305" s="20"/>
      <c r="W305" s="20"/>
    </row>
    <row r="306" spans="1:23" s="11" customFormat="1" ht="27.75" customHeight="1" x14ac:dyDescent="0.2">
      <c r="A306" s="146" t="s">
        <v>235</v>
      </c>
      <c r="B306" s="99" t="s">
        <v>54</v>
      </c>
      <c r="C306" s="99">
        <v>0</v>
      </c>
      <c r="D306" s="99">
        <v>14</v>
      </c>
      <c r="E306" s="99" t="s">
        <v>32</v>
      </c>
      <c r="F306" s="99" t="s">
        <v>14</v>
      </c>
      <c r="G306" s="99" t="s">
        <v>15</v>
      </c>
      <c r="H306" s="99">
        <v>11270</v>
      </c>
      <c r="I306" s="99" t="s">
        <v>81</v>
      </c>
      <c r="J306" s="97" t="s">
        <v>118</v>
      </c>
      <c r="K306" s="97">
        <v>2268.2600000000002</v>
      </c>
      <c r="L306" s="97"/>
      <c r="M306" s="94">
        <f>207000-204776</f>
        <v>2224</v>
      </c>
      <c r="N306" s="94">
        <v>0</v>
      </c>
      <c r="O306" s="94">
        <f>207000-204776</f>
        <v>2224</v>
      </c>
      <c r="P306" s="221">
        <f t="shared" si="121"/>
        <v>100</v>
      </c>
      <c r="Q306" s="20"/>
      <c r="R306" s="20"/>
      <c r="S306" s="20"/>
      <c r="T306" s="20"/>
      <c r="U306" s="20"/>
      <c r="V306" s="20"/>
      <c r="W306" s="20"/>
    </row>
    <row r="307" spans="1:23" s="20" customFormat="1" ht="36.75" customHeight="1" x14ac:dyDescent="0.2">
      <c r="A307" s="190" t="s">
        <v>191</v>
      </c>
      <c r="B307" s="102"/>
      <c r="C307" s="102"/>
      <c r="D307" s="102"/>
      <c r="E307" s="102"/>
      <c r="F307" s="102"/>
      <c r="G307" s="102"/>
      <c r="H307" s="102"/>
      <c r="I307" s="102"/>
      <c r="J307" s="103"/>
      <c r="K307" s="103"/>
      <c r="L307" s="103"/>
      <c r="M307" s="94">
        <v>2224</v>
      </c>
      <c r="N307" s="94">
        <v>0</v>
      </c>
      <c r="O307" s="94">
        <v>2224</v>
      </c>
      <c r="P307" s="221">
        <f t="shared" si="121"/>
        <v>100</v>
      </c>
    </row>
    <row r="308" spans="1:23" s="20" customFormat="1" ht="15" customHeight="1" x14ac:dyDescent="0.2">
      <c r="A308" s="49" t="s">
        <v>65</v>
      </c>
      <c r="B308" s="204"/>
      <c r="C308" s="204"/>
      <c r="D308" s="204"/>
      <c r="E308" s="204"/>
      <c r="F308" s="204"/>
      <c r="G308" s="204"/>
      <c r="H308" s="204"/>
      <c r="I308" s="204"/>
      <c r="J308" s="205"/>
      <c r="K308" s="205"/>
      <c r="L308" s="205"/>
      <c r="M308" s="210">
        <f>M309</f>
        <v>414705</v>
      </c>
      <c r="N308" s="210">
        <f t="shared" ref="N308:O308" si="146">N309</f>
        <v>0</v>
      </c>
      <c r="O308" s="210">
        <f t="shared" si="146"/>
        <v>414705</v>
      </c>
      <c r="P308" s="220">
        <f t="shared" si="121"/>
        <v>100</v>
      </c>
    </row>
    <row r="309" spans="1:23" s="20" customFormat="1" ht="32.25" customHeight="1" x14ac:dyDescent="0.2">
      <c r="A309" s="98" t="s">
        <v>159</v>
      </c>
      <c r="B309" s="102" t="s">
        <v>54</v>
      </c>
      <c r="C309" s="102">
        <v>0</v>
      </c>
      <c r="D309" s="102">
        <v>14</v>
      </c>
      <c r="E309" s="102" t="s">
        <v>32</v>
      </c>
      <c r="F309" s="102" t="s">
        <v>14</v>
      </c>
      <c r="G309" s="102" t="s">
        <v>15</v>
      </c>
      <c r="H309" s="102">
        <v>11270</v>
      </c>
      <c r="I309" s="102" t="s">
        <v>81</v>
      </c>
      <c r="J309" s="103" t="s">
        <v>63</v>
      </c>
      <c r="K309" s="103">
        <v>2000</v>
      </c>
      <c r="L309" s="158"/>
      <c r="M309" s="94">
        <f>419705-5000</f>
        <v>414705</v>
      </c>
      <c r="N309" s="94">
        <v>0</v>
      </c>
      <c r="O309" s="94">
        <f>419705-5000</f>
        <v>414705</v>
      </c>
      <c r="P309" s="221">
        <f t="shared" si="121"/>
        <v>100</v>
      </c>
    </row>
    <row r="310" spans="1:23" s="20" customFormat="1" ht="39" customHeight="1" x14ac:dyDescent="0.2">
      <c r="A310" s="190" t="s">
        <v>191</v>
      </c>
      <c r="B310" s="102"/>
      <c r="C310" s="102"/>
      <c r="D310" s="102"/>
      <c r="E310" s="102"/>
      <c r="F310" s="102"/>
      <c r="G310" s="102"/>
      <c r="H310" s="102"/>
      <c r="I310" s="102"/>
      <c r="J310" s="103"/>
      <c r="K310" s="103"/>
      <c r="L310" s="158"/>
      <c r="M310" s="94">
        <f>419705-5000</f>
        <v>414705</v>
      </c>
      <c r="N310" s="94">
        <v>0</v>
      </c>
      <c r="O310" s="94">
        <f>419705-5000</f>
        <v>414705</v>
      </c>
      <c r="P310" s="221">
        <f t="shared" si="121"/>
        <v>100</v>
      </c>
    </row>
    <row r="311" spans="1:23" s="20" customFormat="1" x14ac:dyDescent="0.2">
      <c r="A311" s="49" t="s">
        <v>70</v>
      </c>
      <c r="B311" s="102"/>
      <c r="C311" s="102"/>
      <c r="D311" s="102"/>
      <c r="E311" s="102"/>
      <c r="F311" s="102"/>
      <c r="G311" s="102"/>
      <c r="H311" s="102"/>
      <c r="I311" s="102"/>
      <c r="J311" s="103"/>
      <c r="K311" s="103"/>
      <c r="L311" s="103"/>
      <c r="M311" s="210">
        <f>M312</f>
        <v>5000</v>
      </c>
      <c r="N311" s="210">
        <f t="shared" ref="N311:O311" si="147">N312</f>
        <v>0</v>
      </c>
      <c r="O311" s="210">
        <f t="shared" si="147"/>
        <v>5000</v>
      </c>
      <c r="P311" s="220">
        <f t="shared" si="121"/>
        <v>100</v>
      </c>
    </row>
    <row r="312" spans="1:23" s="20" customFormat="1" ht="28.5" customHeight="1" x14ac:dyDescent="0.2">
      <c r="A312" s="98" t="s">
        <v>337</v>
      </c>
      <c r="B312" s="102" t="s">
        <v>54</v>
      </c>
      <c r="C312" s="102">
        <v>0</v>
      </c>
      <c r="D312" s="102">
        <v>14</v>
      </c>
      <c r="E312" s="102" t="s">
        <v>32</v>
      </c>
      <c r="F312" s="102" t="s">
        <v>14</v>
      </c>
      <c r="G312" s="102" t="s">
        <v>15</v>
      </c>
      <c r="H312" s="102">
        <v>11270</v>
      </c>
      <c r="I312" s="102" t="s">
        <v>81</v>
      </c>
      <c r="J312" s="205" t="s">
        <v>221</v>
      </c>
      <c r="K312" s="205">
        <v>40</v>
      </c>
      <c r="L312" s="205"/>
      <c r="M312" s="94">
        <f>M313</f>
        <v>5000</v>
      </c>
      <c r="N312" s="94">
        <v>0</v>
      </c>
      <c r="O312" s="94">
        <f>O313</f>
        <v>5000</v>
      </c>
      <c r="P312" s="221">
        <f t="shared" si="121"/>
        <v>100</v>
      </c>
    </row>
    <row r="313" spans="1:23" s="20" customFormat="1" ht="36" customHeight="1" x14ac:dyDescent="0.2">
      <c r="A313" s="190" t="s">
        <v>191</v>
      </c>
      <c r="B313" s="102"/>
      <c r="C313" s="102"/>
      <c r="D313" s="102"/>
      <c r="E313" s="102"/>
      <c r="F313" s="102"/>
      <c r="G313" s="102"/>
      <c r="H313" s="102"/>
      <c r="I313" s="102"/>
      <c r="J313" s="103"/>
      <c r="K313" s="103"/>
      <c r="L313" s="103"/>
      <c r="M313" s="94">
        <v>5000</v>
      </c>
      <c r="N313" s="94">
        <v>0</v>
      </c>
      <c r="O313" s="94">
        <v>5000</v>
      </c>
      <c r="P313" s="221">
        <f t="shared" si="121"/>
        <v>100</v>
      </c>
    </row>
    <row r="314" spans="1:23" ht="45.75" customHeight="1" x14ac:dyDescent="0.3">
      <c r="A314" s="234" t="s">
        <v>426</v>
      </c>
      <c r="B314" s="234"/>
      <c r="C314" s="234"/>
      <c r="D314" s="234"/>
      <c r="E314" s="234"/>
      <c r="F314" s="234"/>
      <c r="G314" s="234"/>
      <c r="H314" s="234"/>
      <c r="I314" s="234"/>
      <c r="J314" s="234"/>
      <c r="K314" s="234"/>
      <c r="L314" s="234"/>
      <c r="M314" s="12"/>
      <c r="O314" s="240" t="s">
        <v>423</v>
      </c>
      <c r="P314" s="240"/>
      <c r="Q314" s="20"/>
      <c r="R314" s="20"/>
      <c r="S314" s="20"/>
      <c r="T314" s="20"/>
      <c r="U314" s="20"/>
      <c r="V314" s="20"/>
      <c r="W314" s="20"/>
    </row>
    <row r="315" spans="1:23" ht="26.25" customHeight="1" x14ac:dyDescent="0.2">
      <c r="M315" s="12"/>
      <c r="Q315" s="20"/>
      <c r="R315" s="20"/>
      <c r="S315" s="20"/>
      <c r="T315" s="20"/>
      <c r="U315" s="20"/>
      <c r="V315" s="20"/>
      <c r="W315" s="20"/>
    </row>
    <row r="334" spans="1:1" ht="15.75" x14ac:dyDescent="0.2">
      <c r="A334" s="225" t="s">
        <v>424</v>
      </c>
    </row>
    <row r="335" spans="1:1" ht="15.75" x14ac:dyDescent="0.2">
      <c r="A335" s="225" t="s">
        <v>425</v>
      </c>
    </row>
  </sheetData>
  <autoFilter ref="B6:I314"/>
  <mergeCells count="12">
    <mergeCell ref="A314:L314"/>
    <mergeCell ref="O314:P314"/>
    <mergeCell ref="A287:A288"/>
    <mergeCell ref="A271:A272"/>
    <mergeCell ref="A172:A173"/>
    <mergeCell ref="A170:A171"/>
    <mergeCell ref="A186:A187"/>
    <mergeCell ref="A1:P1"/>
    <mergeCell ref="A2:P2"/>
    <mergeCell ref="A5:P5"/>
    <mergeCell ref="A3:P3"/>
    <mergeCell ref="A4:P4"/>
  </mergeCells>
  <pageMargins left="0.19685039370078741" right="0.19685039370078741" top="0.39370078740157483" bottom="0.39370078740157483" header="0" footer="0"/>
  <pageSetup paperSize="9" scale="94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гос 2016</vt:lpstr>
      <vt:lpstr>мун 2016 </vt:lpstr>
      <vt:lpstr>'гос 2016'!Заголовки_для_печати</vt:lpstr>
      <vt:lpstr>'мун 2016 '!Заголовки_для_печати</vt:lpstr>
      <vt:lpstr>'гос 2016'!Область_печати</vt:lpstr>
      <vt:lpstr>'мун 2016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2014-10-30T14:48:34Z</cp:lastPrinted>
  <dcterms:created xsi:type="dcterms:W3CDTF">2006-09-16T00:00:00Z</dcterms:created>
  <dcterms:modified xsi:type="dcterms:W3CDTF">2017-03-29T14:02:13Z</dcterms:modified>
</cp:coreProperties>
</file>